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HS INPUT" sheetId="1" r:id="rId3"/>
    <sheet state="visible" name="RHS OUTPUT" sheetId="2" r:id="rId4"/>
    <sheet state="visible" name="Custom LootTables.h" sheetId="3" r:id="rId5"/>
    <sheet state="visible" name="Test - Exile LootItemGroups" sheetId="4" r:id="rId6"/>
    <sheet state="visible" name="Test - Exile LootTables" sheetId="5" r:id="rId7"/>
    <sheet state="visible" name="Test - CfgLootTables.hpp" sheetId="6" r:id="rId8"/>
    <sheet state="visible" name="Spartan Exile INPUT" sheetId="7" r:id="rId9"/>
    <sheet state="visible" name="Spartan Exile OUTPUT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">
      <text>
        <t xml:space="preserve">Item has a price defined therefor it can be sold.</t>
      </text>
    </comment>
    <comment authorId="0" ref="E4">
      <text>
        <t xml:space="preserve">Can be bought at merchant *CanSell must be 1 for CanBuy to work.</t>
      </text>
    </comment>
    <comment authorId="0" ref="F4">
      <text>
        <t xml:space="preserve">Will spawn in the world</t>
      </text>
    </comment>
    <comment authorId="0" ref="G4">
      <text>
        <t xml:space="preserve">Quality goes from 1 to 4 and will multiply the base value.</t>
      </text>
    </comment>
    <comment authorId="0" ref="J4">
      <text>
        <t xml:space="preserve">Armor value is doubled before being added to the final price.</t>
      </text>
    </comment>
    <comment authorId="0" ref="K4">
      <text>
        <t xml:space="preserve">This number is added to final price</t>
      </text>
    </comment>
    <comment authorId="0" ref="L4">
      <text>
        <t xml:space="preserve">This number is added to the final price.</t>
      </text>
    </comment>
    <comment authorId="0" ref="M4">
      <text>
        <t xml:space="preserve">((Quality*Baseprice)+Special+Special2+(Armor*2))*Quantity</t>
      </text>
    </comment>
    <comment authorId="0" ref="N4">
      <text>
        <t xml:space="preserve">(1/(Price+100))*10000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85">
      <text>
        <t xml:space="preserve">Spartan: I use this bonus to fine tune prices for weapons. Whatever number is in here will multiply by the bonus value below and get added to the price. I use for GLs and how powerful the weapon is in-game.
</t>
      </text>
    </comment>
    <comment authorId="0" ref="F286">
      <text>
        <t xml:space="preserve">Spartan: I guesstimated these looking at them in the trader. It doesn't display an actual number, just a visual representation.</t>
      </text>
    </comment>
    <comment authorId="0" ref="F398">
      <text>
        <t xml:space="preserve">Spartan: This is a multiplier for special features like NV or thermal. Default is 1000 x this number added to price.
</t>
      </text>
    </comment>
    <comment authorId="0" ref="E445">
      <text>
        <t xml:space="preserve">Spartan: Use this to sort these however you wish. Default price is 50 x this number x Base.
</t>
      </text>
    </comment>
  </commentList>
</comments>
</file>

<file path=xl/sharedStrings.xml><?xml version="1.0" encoding="utf-8"?>
<sst xmlns="http://schemas.openxmlformats.org/spreadsheetml/2006/main" count="9970" uniqueCount="3975">
  <si>
    <t>/* OPTIONS</t>
  </si>
  <si>
    <t>SPARTAN'S EXILE PRICE BALANCING WORKSHEET</t>
  </si>
  <si>
    <t>DO NOT COPY</t>
  </si>
  <si>
    <t>Pricing Format *(Copy all 3 columns)</t>
  </si>
  <si>
    <t>1, BACKPACKS</t>
  </si>
  <si>
    <t>1, VESTS</t>
  </si>
  <si>
    <t>1, HEADGEAR</t>
  </si>
  <si>
    <t>CanSell</t>
  </si>
  <si>
    <t>1, HELMETS</t>
  </si>
  <si>
    <t>1, CIVILIAN_CLOTHING</t>
  </si>
  <si>
    <t>CanBuy</t>
  </si>
  <si>
    <t>CanFind</t>
  </si>
  <si>
    <t>Quality</t>
  </si>
  <si>
    <t>BasePrice</t>
  </si>
  <si>
    <t>1, MILITARY_UNIFORMS</t>
  </si>
  <si>
    <t>Quantity</t>
  </si>
  <si>
    <t>1, GUERILLA_CLOTHING</t>
  </si>
  <si>
    <t>Armor</t>
  </si>
  <si>
    <t>Special</t>
  </si>
  <si>
    <t>1, GHILLIE_SUITS</t>
  </si>
  <si>
    <t>Special 2</t>
  </si>
  <si>
    <t>1, WETSUITS</t>
  </si>
  <si>
    <t>Price</t>
  </si>
  <si>
    <t>1, PILOT_CLOTHING</t>
  </si>
  <si>
    <t>1, HANDGUNS</t>
  </si>
  <si>
    <t>Probability</t>
  </si>
  <si>
    <t>1, SUB_MACHINE_GUNS</t>
  </si>
  <si>
    <t>1, LIGHT_MACHINE_GUNS</t>
  </si>
  <si>
    <t>1, ASSAULT_RIFLES</t>
  </si>
  <si>
    <t>1, SNIPER_RIFLES</t>
  </si>
  <si>
    <t>1, OPTICS</t>
  </si>
  <si>
    <t>1, POINTER_ATTACHMENTS</t>
  </si>
  <si>
    <t>1, BIPOD_ATTACHMENTS</t>
  </si>
  <si>
    <t>1, MUZZLE_ATTACHMENTS</t>
  </si>
  <si>
    <t>10, AMMUNITION</t>
  </si>
  <si>
    <t>1, STATIC_MGS</t>
  </si>
  <si>
    <t>1, FLARES</t>
  </si>
  <si>
    <t>1, SMOKES</t>
  </si>
  <si>
    <t>1, EXPLOSIVES</t>
  </si>
  <si>
    <t>1, HARDWARE</t>
  </si>
  <si>
    <t>1, TOOLS</t>
  </si>
  <si>
    <t>1, FOOD</t>
  </si>
  <si>
    <t>1, DRINKS</t>
  </si>
  <si>
    <t>1, FIRST_AID</t>
  </si>
  <si>
    <t>1, NAVIGATION</t>
  </si>
  <si>
    <t>1, UAVS</t>
  </si>
  <si>
    <t>10, Trash</t>
  </si>
  <si>
    <t>1, Electronics</t>
  </si>
  <si>
    <t>*/</t>
  </si>
  <si>
    <t>/*</t>
  </si>
  <si>
    <t>Loot Tables</t>
  </si>
  <si>
    <t>///////////////////////////////////////////////////////////////////////////////</t>
  </si>
  <si>
    <t>// Slums/Ghetto, Farms, Village Houses, Castle etc.</t>
  </si>
  <si>
    <t>// Spawn Guerilla things :)</t>
  </si>
  <si>
    <t>Merchant Format *(do not forget to adjust the commas)</t>
  </si>
  <si>
    <t>&gt; CivillianLowerClass</t>
  </si>
  <si>
    <t>3, BACKPACKS</t>
  </si>
  <si>
    <t>Patrix87 Edition</t>
  </si>
  <si>
    <t>3, VESTS</t>
  </si>
  <si>
    <t>10, HEADGEAR</t>
  </si>
  <si>
    <t>3, HELMETS</t>
  </si>
  <si>
    <t>10, CIVILIAN_CLOTHING</t>
  </si>
  <si>
    <t>10, GUERILLA_CLOTHING</t>
  </si>
  <si>
    <t>Loot compiler Format *(Use with Custom LootTables.h)</t>
  </si>
  <si>
    <t>10, HANDGUNS</t>
  </si>
  <si>
    <t>10, SUB_MACHINE_GUNS</t>
  </si>
  <si>
    <t>3, OPTICS</t>
  </si>
  <si>
    <t>3, POINTER_ATTACHMENTS</t>
  </si>
  <si>
    <t>3, BIPOD_ATTACHMENTS</t>
  </si>
  <si>
    <t>3, MUZZLE_ATTACHMENTS</t>
  </si>
  <si>
    <t>5, FLARES</t>
  </si>
  <si>
    <t>3, SMOKES</t>
  </si>
  <si>
    <t>5, HARDWARE</t>
  </si>
  <si>
    <t>3, TOOLS</t>
  </si>
  <si>
    <t>15, FOOD</t>
  </si>
  <si>
    <t>15, DRINKS</t>
  </si>
  <si>
    <t>5, FIRST_AID</t>
  </si>
  <si>
    <t>// Apartments, Offices etc.</t>
  </si>
  <si>
    <t>&gt; CivillianUpperClass</t>
  </si>
  <si>
    <t>5, WETSUITS</t>
  </si>
  <si>
    <t>5, PILOT_CLOTHING</t>
  </si>
  <si>
    <t>3, LIGHT_MACHINE_GUNS</t>
  </si>
  <si>
    <t>10, ASSAULT_RIFLES</t>
  </si>
  <si>
    <t>5, OPTICS</t>
  </si>
  <si>
    <t>2, EXPLOSIVES</t>
  </si>
  <si>
    <t>3, NAVIGATION</t>
  </si>
  <si>
    <t>// Kiosks, Supermarkets etc.</t>
  </si>
  <si>
    <t>&gt; Shop</t>
  </si>
  <si>
    <t>5, BACKPACKS</t>
  </si>
  <si>
    <t>5, VESTS</t>
  </si>
  <si>
    <t>2, MILITARY_UNIFORMS</t>
  </si>
  <si>
    <t>2, GHILLIE_SUITS</t>
  </si>
  <si>
    <t>5, ASSAULT_RIFLES</t>
  </si>
  <si>
    <t>2, SNIPER_RIFLES</t>
  </si>
  <si>
    <t>Exile + RHS Weapons and Trucks without Weapons</t>
  </si>
  <si>
    <t>25, FOOD</t>
  </si>
  <si>
    <t>25, DRINKS</t>
  </si>
  <si>
    <t>10, FIRST_AID</t>
  </si>
  <si>
    <t>5, NAVIGATION</t>
  </si>
  <si>
    <t>10, Electronics</t>
  </si>
  <si>
    <t>// Construction Sites, Warehouses, Research etc.</t>
  </si>
  <si>
    <t>&gt; Industrial</t>
  </si>
  <si>
    <t>2, PILOT_CLOTHING</t>
  </si>
  <si>
    <t>25, HARDWARE</t>
  </si>
  <si>
    <t>20, TOOLS</t>
  </si>
  <si>
    <t>5, FOOD</t>
  </si>
  <si>
    <t>5, DRINKS</t>
  </si>
  <si>
    <t>// Factories</t>
  </si>
  <si>
    <t>&gt; Factories</t>
  </si>
  <si>
    <t>40, Trash</t>
  </si>
  <si>
    <t>// Fuel Stations, Garages, Workshops etc.</t>
  </si>
  <si>
    <t>&gt; VehicleService</t>
  </si>
  <si>
    <t>20, HARDWARE</t>
  </si>
  <si>
    <t>25, TOOLS</t>
  </si>
  <si>
    <t>BACKPACKS</t>
  </si>
  <si>
    <t>// Towers, Barracks, Hangars etc.</t>
  </si>
  <si>
    <t>&gt; Military</t>
  </si>
  <si>
    <t>10, BACKPACKS</t>
  </si>
  <si>
    <t>10, VESTS</t>
  </si>
  <si>
    <t>10, HELMETS</t>
  </si>
  <si>
    <t>2, CIVILIAN_CLOTHING</t>
  </si>
  <si>
    <t>10, MILITARY_UNIFORMS</t>
  </si>
  <si>
    <t>5, GUERILLA_CLOTHING</t>
  </si>
  <si>
    <t>8, GHILLIE_SUITS</t>
  </si>
  <si>
    <t>8, LIGHT_MACHINE_GUNS</t>
  </si>
  <si>
    <t>8, SNIPER_RIFLES</t>
  </si>
  <si>
    <t>10, OPTICS</t>
  </si>
  <si>
    <t>10, POINTER_ATTACHMENTS</t>
  </si>
  <si>
    <t>10, BIPOD_ATTACHMENTS</t>
  </si>
  <si>
    <t>10, MUZZLE_ATTACHMENTS</t>
  </si>
  <si>
    <t>2, STATIC_MGS</t>
  </si>
  <si>
    <t>10, FLARES</t>
  </si>
  <si>
    <t>10, SMOKES</t>
  </si>
  <si>
    <t>8, EXPLOSIVES</t>
  </si>
  <si>
    <t>B_AssaultPack_blk</t>
  </si>
  <si>
    <t>10, NAVIGATION</t>
  </si>
  <si>
    <t>3, UAVS</t>
  </si>
  <si>
    <t>50, Trash</t>
  </si>
  <si>
    <t>// Hospital, Medevac etc.</t>
  </si>
  <si>
    <t>&gt; Medical</t>
  </si>
  <si>
    <t>3, Trash</t>
  </si>
  <si>
    <t>7, FIRST_AID</t>
  </si>
  <si>
    <t>// Light Houses + Life Guard Towers + Castles</t>
  </si>
  <si>
    <t>&gt; Tourist</t>
  </si>
  <si>
    <t>B_AssaultPack_cbr</t>
  </si>
  <si>
    <t>10, WETSUITS</t>
  </si>
  <si>
    <t>2, OPTICS</t>
  </si>
  <si>
    <t>B_AssaultPack_dgtl</t>
  </si>
  <si>
    <t>2, POINTER_ATTACHMENTS</t>
  </si>
  <si>
    <t>2, BIPOD_ATTACHMENTS</t>
  </si>
  <si>
    <t>2, MUZZLE_ATTACHMENTS</t>
  </si>
  <si>
    <t>B_AssaultPack_khk</t>
  </si>
  <si>
    <t>2, HARDWARE</t>
  </si>
  <si>
    <t>3, FOOD</t>
  </si>
  <si>
    <t>3, DRINKS</t>
  </si>
  <si>
    <t>3, FIRST_AID</t>
  </si>
  <si>
    <t>2, NAVIGATION</t>
  </si>
  <si>
    <t>20, Trash</t>
  </si>
  <si>
    <t>B_AssaultPack_mcamo</t>
  </si>
  <si>
    <t>B_AssaultPack_rgr</t>
  </si>
  <si>
    <t>B_AssaultPack_sgg</t>
  </si>
  <si>
    <t>B_FieldPack_blk</t>
  </si>
  <si>
    <t>B_FieldPack_cbr</t>
  </si>
  <si>
    <t>B_FieldPack_ocamo</t>
  </si>
  <si>
    <t>B_FieldPack_oucamo</t>
  </si>
  <si>
    <t>B_TacticalPack_blk</t>
  </si>
  <si>
    <t>B_TacticalPack_rgr</t>
  </si>
  <si>
    <t>B_TacticalPack_ocamo</t>
  </si>
  <si>
    <t>B_TacticalPack_mcamo</t>
  </si>
  <si>
    <t>B_TacticalPack_oli</t>
  </si>
  <si>
    <t>B_Kitbag_cbr</t>
  </si>
  <si>
    <t>Note: LootItemGroups data for Spartan's server. We use slightly different loot categories from vanilla.</t>
  </si>
  <si>
    <t>Groups</t>
  </si>
  <si>
    <t>B_Kitbag_mcamo</t>
  </si>
  <si>
    <t>///////////////////////////////////////////////////////////////////////</t>
  </si>
  <si>
    <t>CivilianBackpacks</t>
  </si>
  <si>
    <t>// BACKPACKS</t>
  </si>
  <si>
    <t>MilitaryBackpacks</t>
  </si>
  <si>
    <t>Vests</t>
  </si>
  <si>
    <t>&gt;</t>
  </si>
  <si>
    <t>ArmoredVests</t>
  </si>
  <si>
    <t>B_Kitbag_sgg</t>
  </si>
  <si>
    <t>B_Carryall_cbr</t>
  </si>
  <si>
    <t>B_Carryall_khk</t>
  </si>
  <si>
    <t>B_Carryall_mcamo</t>
  </si>
  <si>
    <t>,</t>
  </si>
  <si>
    <t>B_HuntingBackpack</t>
  </si>
  <si>
    <t>CivilianHeadgear</t>
  </si>
  <si>
    <t>B_OutdoorPack_blk</t>
  </si>
  <si>
    <t>B_Carryall_ocamo</t>
  </si>
  <si>
    <t>MilitaryHeadgear</t>
  </si>
  <si>
    <t>B_OutdoorPack_blu</t>
  </si>
  <si>
    <t>Helmets</t>
  </si>
  <si>
    <t>B_Carryall_oli</t>
  </si>
  <si>
    <t>B_OutdoorPack_tan</t>
  </si>
  <si>
    <t>CivilianClothing</t>
  </si>
  <si>
    <t>MilitaryUniform</t>
  </si>
  <si>
    <t>GuerillaClothing</t>
  </si>
  <si>
    <t>B_Carryall_oucamo</t>
  </si>
  <si>
    <t>B_Bergen_blk</t>
  </si>
  <si>
    <t>B_Bergen_mcamo</t>
  </si>
  <si>
    <t>GhillieSuits</t>
  </si>
  <si>
    <t>B_Bergen_rgr</t>
  </si>
  <si>
    <t>Wetsuits</t>
  </si>
  <si>
    <t>PilotClothing</t>
  </si>
  <si>
    <t>B_Bergen_sgg</t>
  </si>
  <si>
    <t>Handguns</t>
  </si>
  <si>
    <t>SMG</t>
  </si>
  <si>
    <t>LMG</t>
  </si>
  <si>
    <t>AssaultRifles</t>
  </si>
  <si>
    <t>Snipers</t>
  </si>
  <si>
    <t>HandgunAmmo</t>
  </si>
  <si>
    <t>SMGAmmo</t>
  </si>
  <si>
    <t>LMGAmmo</t>
  </si>
  <si>
    <t>ARAmmo</t>
  </si>
  <si>
    <t>SniperAmmo</t>
  </si>
  <si>
    <t>PistolAttachments</t>
  </si>
  <si>
    <t>SMGAttachments</t>
  </si>
  <si>
    <t>B_Parachute</t>
  </si>
  <si>
    <t>ARAttachments</t>
  </si>
  <si>
    <t>V_RebreatherB</t>
  </si>
  <si>
    <t>Bipods</t>
  </si>
  <si>
    <t>SniperAttachments</t>
  </si>
  <si>
    <t>V_RebreatherIA</t>
  </si>
  <si>
    <t>Smokes</t>
  </si>
  <si>
    <t>Grenades</t>
  </si>
  <si>
    <t>V_RebreatherIR</t>
  </si>
  <si>
    <t>Explosives</t>
  </si>
  <si>
    <t>Flares</t>
  </si>
  <si>
    <t>Food</t>
  </si>
  <si>
    <t>VESTS</t>
  </si>
  <si>
    <t>Drinks</t>
  </si>
  <si>
    <t>CivilianItems</t>
  </si>
  <si>
    <t>V_Rangemaster_belt</t>
  </si>
  <si>
    <t>MilitaryItems</t>
  </si>
  <si>
    <t>Restraints</t>
  </si>
  <si>
    <t>V_BandollierB_blk</t>
  </si>
  <si>
    <t>Electronics</t>
  </si>
  <si>
    <t>MedicalItems</t>
  </si>
  <si>
    <t>V_BandollierB_cbr</t>
  </si>
  <si>
    <t>IndustrialItems</t>
  </si>
  <si>
    <t>Trash</t>
  </si>
  <si>
    <t>// VESTS</t>
  </si>
  <si>
    <t>V_BandollierB_khk</t>
  </si>
  <si>
    <t>V_BandollierB_oli</t>
  </si>
  <si>
    <t>V_BandollierB_rgr</t>
  </si>
  <si>
    <t>V_Chestrig_blk</t>
  </si>
  <si>
    <t>V_Chestrig_khk</t>
  </si>
  <si>
    <t xml:space="preserve">V_Chestrig_blk </t>
  </si>
  <si>
    <t xml:space="preserve">V_Chestrig_khk </t>
  </si>
  <si>
    <t xml:space="preserve">V_Chestrig_oli </t>
  </si>
  <si>
    <t>V_Chestrig_rgr</t>
  </si>
  <si>
    <t>V_HarnessO_brn</t>
  </si>
  <si>
    <t>V_Chestrig_oli</t>
  </si>
  <si>
    <t>V_HarnessO_gry</t>
  </si>
  <si>
    <t>V_HarnessOGL_brn</t>
  </si>
  <si>
    <t>V_HarnessOGL_gry</t>
  </si>
  <si>
    <t>V_HarnessOSpec_brn</t>
  </si>
  <si>
    <t>V_HarnessOSpec_gry</t>
  </si>
  <si>
    <t>V_Press_F</t>
  </si>
  <si>
    <t>V_TacVest_blk</t>
  </si>
  <si>
    <t>V_TacVest_blk_POLICE</t>
  </si>
  <si>
    <t>V_TacVest_brn</t>
  </si>
  <si>
    <t>V_TacVest_camo</t>
  </si>
  <si>
    <t>V_TacVest_khk</t>
  </si>
  <si>
    <t>V_TacVest_oli</t>
  </si>
  <si>
    <t>V_TacVestCamo_khk</t>
  </si>
  <si>
    <t>V_TacVestIR_blk</t>
  </si>
  <si>
    <t>V_I_G_resistanceLeader_F</t>
  </si>
  <si>
    <t xml:space="preserve">V_PlateCarrier1_blk </t>
  </si>
  <si>
    <t xml:space="preserve">V_PlateCarrier1_rgr </t>
  </si>
  <si>
    <t xml:space="preserve">V_PlateCarrier2_rgr </t>
  </si>
  <si>
    <t xml:space="preserve">V_PlateCarrier3_rgr </t>
  </si>
  <si>
    <t xml:space="preserve">V_PlateCarrierGL_blk </t>
  </si>
  <si>
    <t xml:space="preserve">V_PlateCarrierGL_mtp </t>
  </si>
  <si>
    <t xml:space="preserve">V_PlateCarrierGL_rgr </t>
  </si>
  <si>
    <t xml:space="preserve">V_PlateCarrierH_CTRG </t>
  </si>
  <si>
    <t xml:space="preserve">V_PlateCarrierIA1_dgtl </t>
  </si>
  <si>
    <t xml:space="preserve">V_PlateCarrierIA2_dgtl </t>
  </si>
  <si>
    <t xml:space="preserve">V_PlateCarrierIAGL_dgtl </t>
  </si>
  <si>
    <t xml:space="preserve">V_PlateCarrierIAGL_oli </t>
  </si>
  <si>
    <t xml:space="preserve">V_PlateCarrierL_CTRG </t>
  </si>
  <si>
    <t xml:space="preserve">V_PlateCarrierSpec_blk </t>
  </si>
  <si>
    <t xml:space="preserve">V_PlateCarrierSpec_mtp </t>
  </si>
  <si>
    <t xml:space="preserve">V_PlateCarrierSpec_rgr </t>
  </si>
  <si>
    <t>// HEADGEAR</t>
  </si>
  <si>
    <t xml:space="preserve">H_Cap_blk </t>
  </si>
  <si>
    <t xml:space="preserve">H_Cap_blk_Raven </t>
  </si>
  <si>
    <t xml:space="preserve">H_Cap_blu </t>
  </si>
  <si>
    <t xml:space="preserve">H_Cap_brn_SPECOPS </t>
  </si>
  <si>
    <t xml:space="preserve">H_Cap_grn </t>
  </si>
  <si>
    <t xml:space="preserve">H_Cap_headphones </t>
  </si>
  <si>
    <t xml:space="preserve">H_Cap_khaki_specops_UK </t>
  </si>
  <si>
    <t xml:space="preserve">H_Cap_oli </t>
  </si>
  <si>
    <t xml:space="preserve">H_Cap_press </t>
  </si>
  <si>
    <t xml:space="preserve">H_Cap_red </t>
  </si>
  <si>
    <t xml:space="preserve">H_Cap_tan </t>
  </si>
  <si>
    <t>V_PlateCarrier1_blk</t>
  </si>
  <si>
    <t xml:space="preserve">H_Cap_tan_specops_US </t>
  </si>
  <si>
    <t>V_PlateCarrier1_rgr</t>
  </si>
  <si>
    <t>H_Bandanna_camo</t>
  </si>
  <si>
    <t>V_PlateCarrier2_rgr</t>
  </si>
  <si>
    <t>H_Bandanna_cbr</t>
  </si>
  <si>
    <t>H_Bandanna_gry</t>
  </si>
  <si>
    <t>V_PlateCarrier3_rgr</t>
  </si>
  <si>
    <t>H_Bandanna_khk</t>
  </si>
  <si>
    <t>H_Bandanna_khk_hs</t>
  </si>
  <si>
    <t>V_PlateCarrierGL_blk</t>
  </si>
  <si>
    <t>H_Bandanna_mcamo</t>
  </si>
  <si>
    <t>H_Bandanna_sgg</t>
  </si>
  <si>
    <t>V_PlateCarrierGL_mtp</t>
  </si>
  <si>
    <t>H_Bandanna_surfer</t>
  </si>
  <si>
    <t>V_PlateCarrierGL_rgr</t>
  </si>
  <si>
    <t>H_Hat_blue</t>
  </si>
  <si>
    <t>V_PlateCarrierH_CTRG</t>
  </si>
  <si>
    <t>H_Hat_brown</t>
  </si>
  <si>
    <t>H_Hat_camo</t>
  </si>
  <si>
    <t>H_Hat_checker</t>
  </si>
  <si>
    <t>V_PlateCarrierIA1_dgtl</t>
  </si>
  <si>
    <t>H_Hat_grey</t>
  </si>
  <si>
    <t>H_Hat_tan</t>
  </si>
  <si>
    <t>V_PlateCarrierIA2_dgtl</t>
  </si>
  <si>
    <t>H_StrawHat</t>
  </si>
  <si>
    <t>H_StrawHat_dark</t>
  </si>
  <si>
    <t>V_PlateCarrierIAGL_dgtl</t>
  </si>
  <si>
    <t>V_PlateCarrierIAGL_oli</t>
  </si>
  <si>
    <t>H_Shemag_khk</t>
  </si>
  <si>
    <t>H_Shemag_olive</t>
  </si>
  <si>
    <t>V_PlateCarrierL_CTRG</t>
  </si>
  <si>
    <t>H_Shemag_olive_hs</t>
  </si>
  <si>
    <t>H_Shemag_tan</t>
  </si>
  <si>
    <t>V_PlateCarrierSpec_blk</t>
  </si>
  <si>
    <t>H_ShemagOpen_khk</t>
  </si>
  <si>
    <t>H_ShemagOpen_tan</t>
  </si>
  <si>
    <t>H_TurbanO_blk</t>
  </si>
  <si>
    <t>V_PlateCarrierSpec_mtp</t>
  </si>
  <si>
    <t>V_PlateCarrierSpec_rgr</t>
  </si>
  <si>
    <t xml:space="preserve">H_MilCap_blue </t>
  </si>
  <si>
    <t>HEADGEAR</t>
  </si>
  <si>
    <t xml:space="preserve">H_MilCap_dgtl </t>
  </si>
  <si>
    <t>H_Cap_blk</t>
  </si>
  <si>
    <t xml:space="preserve">H_MilCap_mcamo </t>
  </si>
  <si>
    <t xml:space="preserve">H_MilCap_ocamo </t>
  </si>
  <si>
    <t xml:space="preserve">H_MilCap_oucamo </t>
  </si>
  <si>
    <t xml:space="preserve">H_MilCap_rucamo </t>
  </si>
  <si>
    <t xml:space="preserve">H_Watchcap_blk </t>
  </si>
  <si>
    <t>H_Cap_blk_Raven</t>
  </si>
  <si>
    <t xml:space="preserve">H_Watchcap_camo </t>
  </si>
  <si>
    <t xml:space="preserve">H_Watchcap_khk </t>
  </si>
  <si>
    <t>H_Cap_blu</t>
  </si>
  <si>
    <t xml:space="preserve">H_Watchcap_sgg </t>
  </si>
  <si>
    <t>H_Cap_brn_SPECOPS</t>
  </si>
  <si>
    <t>H_Booniehat_dgtl</t>
  </si>
  <si>
    <t>H_Cap_grn</t>
  </si>
  <si>
    <t>H_Booniehat_dirty</t>
  </si>
  <si>
    <t>H_Cap_headphones</t>
  </si>
  <si>
    <t>H_Booniehat_grn</t>
  </si>
  <si>
    <t>H_Booniehat_indp</t>
  </si>
  <si>
    <t>H_Cap_khaki_specops_UK</t>
  </si>
  <si>
    <t>H_Booniehat_khk</t>
  </si>
  <si>
    <t>H_Booniehat_khk_hs</t>
  </si>
  <si>
    <t>H_Cap_oli</t>
  </si>
  <si>
    <t>H_Booniehat_mcamo</t>
  </si>
  <si>
    <t>H_Booniehat_tan</t>
  </si>
  <si>
    <t>H_Cap_press</t>
  </si>
  <si>
    <t>H_Cap_red</t>
  </si>
  <si>
    <t>H_Beret_02</t>
  </si>
  <si>
    <t>H_Beret_blk</t>
  </si>
  <si>
    <t>H_Cap_tan</t>
  </si>
  <si>
    <t>H_Beret_blk_POLICE</t>
  </si>
  <si>
    <t>H_Beret_brn_SF</t>
  </si>
  <si>
    <t>H_Cap_tan_specops_US</t>
  </si>
  <si>
    <t>H_Beret_Colonel</t>
  </si>
  <si>
    <t>H_Beret_grn</t>
  </si>
  <si>
    <t>H_MilCap_blue</t>
  </si>
  <si>
    <t>H_Beret_grn_SF</t>
  </si>
  <si>
    <t>H_Beret_ocamo</t>
  </si>
  <si>
    <t>H_MilCap_dgtl</t>
  </si>
  <si>
    <t>H_Beret_red</t>
  </si>
  <si>
    <t>// HELMETS</t>
  </si>
  <si>
    <t>H_MilCap_mcamo</t>
  </si>
  <si>
    <t>H_MilCap_ocamo</t>
  </si>
  <si>
    <t>H_HelmetB_light</t>
  </si>
  <si>
    <t>H_MilCap_oucamo</t>
  </si>
  <si>
    <t>H_HelmetB_light_black</t>
  </si>
  <si>
    <t>H_MilCap_rucamo</t>
  </si>
  <si>
    <t>H_HelmetB_light_desert</t>
  </si>
  <si>
    <t>H_HelmetB_light_grass</t>
  </si>
  <si>
    <t>H_Watchcap_blk</t>
  </si>
  <si>
    <t>H_HelmetB_light_sand</t>
  </si>
  <si>
    <t>H_HelmetB_light_snakeskin</t>
  </si>
  <si>
    <t>H_Watchcap_camo</t>
  </si>
  <si>
    <t>H_HelmetIA</t>
  </si>
  <si>
    <t>H_HelmetIA_camo</t>
  </si>
  <si>
    <t>H_Watchcap_khk</t>
  </si>
  <si>
    <t>H_HelmetIA_net</t>
  </si>
  <si>
    <t>H_HelmetB</t>
  </si>
  <si>
    <t>H_Watchcap_sgg</t>
  </si>
  <si>
    <t>H_HelmetB_black</t>
  </si>
  <si>
    <t>H_HelmetB_camo</t>
  </si>
  <si>
    <t>H_HelmetB_desert</t>
  </si>
  <si>
    <t>H_HelmetB_grass</t>
  </si>
  <si>
    <t>H_HelmetB_paint</t>
  </si>
  <si>
    <t>H_HelmetB_plain_blk</t>
  </si>
  <si>
    <t>H_HelmetB_sand</t>
  </si>
  <si>
    <t>H_HelmetB_snakeskin</t>
  </si>
  <si>
    <t>H_HelmetSpecB</t>
  </si>
  <si>
    <t>H_HelmetSpecB_blk</t>
  </si>
  <si>
    <t>H_HelmetSpecB_paint1</t>
  </si>
  <si>
    <t>H_HelmetSpecB_paint2</t>
  </si>
  <si>
    <t>H_HelmetO_ocamo</t>
  </si>
  <si>
    <t>H_HelmetO_oucamo</t>
  </si>
  <si>
    <t>H_HelmetSpecO_blk</t>
  </si>
  <si>
    <t>H_HelmetSpecO_ocamo</t>
  </si>
  <si>
    <t>H_HelmetLeaderO_ocamo</t>
  </si>
  <si>
    <t>H_HelmetLeaderO_oucamo</t>
  </si>
  <si>
    <t>H_CrewHelmetHeli_B</t>
  </si>
  <si>
    <t>H_CrewHelmetHeli_I</t>
  </si>
  <si>
    <t>H_CrewHelmetHeli_O</t>
  </si>
  <si>
    <t>H_HelmetCrew_I</t>
  </si>
  <si>
    <t>H_HelmetCrew_B</t>
  </si>
  <si>
    <t>H_HelmetCrew_O</t>
  </si>
  <si>
    <t>H_PilotHelmetHeli_B</t>
  </si>
  <si>
    <t>H_PilotHelmetHeli_I</t>
  </si>
  <si>
    <t>H_PilotHelmetHeli_O</t>
  </si>
  <si>
    <t>H_PilotHelmetFighter_B</t>
  </si>
  <si>
    <t>H_PilotHelmetFighter_I</t>
  </si>
  <si>
    <t>H_PilotHelmetFighter_O</t>
  </si>
  <si>
    <t>// CIVILIAN CLOTHING</t>
  </si>
  <si>
    <t xml:space="preserve">U_C_Journalist </t>
  </si>
  <si>
    <t xml:space="preserve">U_C_Poloshirt_blue </t>
  </si>
  <si>
    <t xml:space="preserve">U_C_Poloshirt_burgundy </t>
  </si>
  <si>
    <t xml:space="preserve">U_C_Poloshirt_salmon </t>
  </si>
  <si>
    <t xml:space="preserve">U_C_Poloshirt_stripped </t>
  </si>
  <si>
    <t xml:space="preserve">U_C_Poloshirt_tricolour </t>
  </si>
  <si>
    <t xml:space="preserve">U_C_Poor_1 </t>
  </si>
  <si>
    <t xml:space="preserve">U_C_Poor_2 </t>
  </si>
  <si>
    <t xml:space="preserve">U_C_Poor_shorts_1 </t>
  </si>
  <si>
    <t xml:space="preserve">U_C_Scientist </t>
  </si>
  <si>
    <t xml:space="preserve">U_OrestesBody </t>
  </si>
  <si>
    <t xml:space="preserve">U_Rangemaster </t>
  </si>
  <si>
    <t xml:space="preserve">U_NikosAgedBody </t>
  </si>
  <si>
    <t>U_NikosBody</t>
  </si>
  <si>
    <t>U_Competitor</t>
  </si>
  <si>
    <t>U_C_HunterBody_grn</t>
  </si>
  <si>
    <t>// MILITARY UNIFORMS</t>
  </si>
  <si>
    <t xml:space="preserve">U_B_CombatUniform_mcam </t>
  </si>
  <si>
    <t xml:space="preserve">U_B_CombatUniform_mcam_tshirt </t>
  </si>
  <si>
    <t xml:space="preserve">U_B_CombatUniform_mcam_vest </t>
  </si>
  <si>
    <t xml:space="preserve">U_B_CombatUniform_mcam_worn </t>
  </si>
  <si>
    <t xml:space="preserve">U_B_CTRG_1 </t>
  </si>
  <si>
    <t xml:space="preserve">U_B_CTRG_2 </t>
  </si>
  <si>
    <t>U_B_CTRG_3</t>
  </si>
  <si>
    <t xml:space="preserve">U_I_CombatUniform </t>
  </si>
  <si>
    <t>U_I_CombatUniform_shortsleeve</t>
  </si>
  <si>
    <t>U_I_CombatUniform_tshirt</t>
  </si>
  <si>
    <t>U_I_OfficerUniform</t>
  </si>
  <si>
    <t xml:space="preserve">U_O_CombatUniform_ocamo </t>
  </si>
  <si>
    <t xml:space="preserve">U_O_CombatUniform_oucamo </t>
  </si>
  <si>
    <t xml:space="preserve">U_O_OfficerUniform_ocamo </t>
  </si>
  <si>
    <t xml:space="preserve">U_B_SpecopsUniform_sgg </t>
  </si>
  <si>
    <t xml:space="preserve">U_O_SpecopsUniform_blk </t>
  </si>
  <si>
    <t xml:space="preserve">U_O_SpecopsUniform_ocamo </t>
  </si>
  <si>
    <t xml:space="preserve">U_I_G_Story_Protagonist_F </t>
  </si>
  <si>
    <t>U_B_survival_uniform</t>
  </si>
  <si>
    <t xml:space="preserve">Exile_Uniform_Woodland </t>
  </si>
  <si>
    <t>// GUERILLA UNIFORMS</t>
  </si>
  <si>
    <t>U_IG_Guerilla1_1</t>
  </si>
  <si>
    <t>U_IG_Guerilla2_1</t>
  </si>
  <si>
    <t>U_IG_Guerilla2_2</t>
  </si>
  <si>
    <t>U_IG_Guerilla2_3</t>
  </si>
  <si>
    <t>U_IG_Guerilla3_1</t>
  </si>
  <si>
    <t>U_BG_Guerilla2_1</t>
  </si>
  <si>
    <t>U_IG_Guerilla3_2</t>
  </si>
  <si>
    <t>U_BG_Guerrilla_6_1</t>
  </si>
  <si>
    <t>U_BG_Guerilla1_1</t>
  </si>
  <si>
    <t>U_BG_Guerilla2_2</t>
  </si>
  <si>
    <t>U_BG_Guerilla2_3</t>
  </si>
  <si>
    <t>U_BG_Guerilla3_1</t>
  </si>
  <si>
    <t>U_BG_leader</t>
  </si>
  <si>
    <t>U_IG_leader</t>
  </si>
  <si>
    <t>U_I_G_resistanceLeader_F</t>
  </si>
  <si>
    <t>// GHILLIE SUITS</t>
  </si>
  <si>
    <t>U_B_FullGhillie_ard</t>
  </si>
  <si>
    <t>U_B_FullGhillie_lsh</t>
  </si>
  <si>
    <t>U_B_FullGhillie_sard</t>
  </si>
  <si>
    <t>U_B_GhillieSuit</t>
  </si>
  <si>
    <t>U_I_FullGhillie_ard</t>
  </si>
  <si>
    <t>U_I_FullGhillie_lsh</t>
  </si>
  <si>
    <t>U_I_FullGhillie_sard</t>
  </si>
  <si>
    <t>HELMETS</t>
  </si>
  <si>
    <t>U_I_GhillieSuit</t>
  </si>
  <si>
    <t>U_O_FullGhillie_ard</t>
  </si>
  <si>
    <t>U_O_FullGhillie_lsh</t>
  </si>
  <si>
    <t>U_O_FullGhillie_sard</t>
  </si>
  <si>
    <t>U_O_GhillieSuit</t>
  </si>
  <si>
    <t>// WETSUITS</t>
  </si>
  <si>
    <t>U_I_Wetsuit</t>
  </si>
  <si>
    <t>U_O_Wetsuit</t>
  </si>
  <si>
    <t>U_B_Wetsuit</t>
  </si>
  <si>
    <t>// PILOT UNIFORMS</t>
  </si>
  <si>
    <t>U_B_HeliPilotCoveralls</t>
  </si>
  <si>
    <t>U_B_PilotCoveralls</t>
  </si>
  <si>
    <t>U_I_HeliPilotCoveralls</t>
  </si>
  <si>
    <t>U_I_pilotCoveralls</t>
  </si>
  <si>
    <t>U_O_PilotCoveralls</t>
  </si>
  <si>
    <t>// HANDGUNS</t>
  </si>
  <si>
    <t xml:space="preserve">hgun_ACPC2_F </t>
  </si>
  <si>
    <t xml:space="preserve">hgun_P07_F </t>
  </si>
  <si>
    <t xml:space="preserve">hgun_Pistol_heavy_01_F </t>
  </si>
  <si>
    <t xml:space="preserve">hgun_Pistol_heavy_02_F </t>
  </si>
  <si>
    <t xml:space="preserve">hgun_Pistol_Signal_F </t>
  </si>
  <si>
    <t xml:space="preserve">hgun_Rook40_F </t>
  </si>
  <si>
    <t>// SUB MACHINE GUNS</t>
  </si>
  <si>
    <t xml:space="preserve">hgun_PDW2000_F </t>
  </si>
  <si>
    <t xml:space="preserve">SMG_01_F </t>
  </si>
  <si>
    <t xml:space="preserve">SMG_02_F </t>
  </si>
  <si>
    <t>// LIGHT MACHINE GUNS</t>
  </si>
  <si>
    <t>arifle_MX_SW_Black_F</t>
  </si>
  <si>
    <t>arifle_MX_SW_F</t>
  </si>
  <si>
    <t>LMG_Mk200_F</t>
  </si>
  <si>
    <t>MMG_01_hex_F</t>
  </si>
  <si>
    <t>MMG_01_tan_F</t>
  </si>
  <si>
    <t>MMG_02_camo_F</t>
  </si>
  <si>
    <t>MMG_02_black_F</t>
  </si>
  <si>
    <t>MMG_02_sand_F</t>
  </si>
  <si>
    <t>LMG_Zafir_F</t>
  </si>
  <si>
    <t>// ASSAULT RIFLES</t>
  </si>
  <si>
    <t>arifle_Katiba_C_F</t>
  </si>
  <si>
    <t>arifle_Katiba_F</t>
  </si>
  <si>
    <t>arifle_Katiba_GL_F</t>
  </si>
  <si>
    <t>arifle_Mk20_F</t>
  </si>
  <si>
    <t>arifle_Mk20_GL_F</t>
  </si>
  <si>
    <t>arifle_Mk20_GL_plain_F</t>
  </si>
  <si>
    <t>arifle_Mk20_plain_F</t>
  </si>
  <si>
    <t>CIVILIAN_CLOTHING</t>
  </si>
  <si>
    <t>arifle_Mk20C_F</t>
  </si>
  <si>
    <t>arifle_Mk20C_plain_F</t>
  </si>
  <si>
    <t>arifle_MX_Black_F</t>
  </si>
  <si>
    <t>arifle_MX_F</t>
  </si>
  <si>
    <t>U_C_Journalist</t>
  </si>
  <si>
    <t>U_C_Poloshirt_blue</t>
  </si>
  <si>
    <t>arifle_MX_GL_Black_F</t>
  </si>
  <si>
    <t>arifle_MX_GL_F</t>
  </si>
  <si>
    <t>U_C_Poloshirt_burgundy</t>
  </si>
  <si>
    <t>U_C_Poloshirt_salmon</t>
  </si>
  <si>
    <t>arifle_MXC_Black_F</t>
  </si>
  <si>
    <t>arifle_MXC_F</t>
  </si>
  <si>
    <t>U_C_Poloshirt_stripped</t>
  </si>
  <si>
    <t>U_C_Poloshirt_tricolour</t>
  </si>
  <si>
    <t>arifle_SDAR_F</t>
  </si>
  <si>
    <t>arifle_TRG20_F</t>
  </si>
  <si>
    <t>U_C_Poor_1</t>
  </si>
  <si>
    <t>arifle_TRG21_F</t>
  </si>
  <si>
    <t>arifle_TRG21_GL_F</t>
  </si>
  <si>
    <t>// SNIPER RIFLES</t>
  </si>
  <si>
    <t>U_C_Poor_2</t>
  </si>
  <si>
    <t>U_C_Poor_shorts_1</t>
  </si>
  <si>
    <t xml:space="preserve">arifle_MXM_Black_F </t>
  </si>
  <si>
    <t>U_C_Scientist</t>
  </si>
  <si>
    <t xml:space="preserve">arifle_MXM_F </t>
  </si>
  <si>
    <t>U_OrestesBody</t>
  </si>
  <si>
    <t>U_Rangemaster</t>
  </si>
  <si>
    <t xml:space="preserve">srifle_DMR_01_F </t>
  </si>
  <si>
    <t>U_NikosAgedBody</t>
  </si>
  <si>
    <t xml:space="preserve">srifle_DMR_02_camo_F </t>
  </si>
  <si>
    <t xml:space="preserve">srifle_DMR_02_F </t>
  </si>
  <si>
    <t xml:space="preserve">srifle_DMR_02_sniper_F </t>
  </si>
  <si>
    <t xml:space="preserve">srifle_DMR_03_F </t>
  </si>
  <si>
    <t>Exile_Uniform_BambiOverall</t>
  </si>
  <si>
    <t xml:space="preserve">srifle_DMR_03_khaki_F </t>
  </si>
  <si>
    <t xml:space="preserve">srifle_DMR_03_multicam_F </t>
  </si>
  <si>
    <t>MILITARY_UNIFORMS</t>
  </si>
  <si>
    <t xml:space="preserve">srifle_DMR_03_tan_F </t>
  </si>
  <si>
    <t>U_B_CombatUniform_mcam</t>
  </si>
  <si>
    <t xml:space="preserve">srifle_DMR_03_woodland_F </t>
  </si>
  <si>
    <t>U_B_CombatUniform_mcam_tshirt</t>
  </si>
  <si>
    <t xml:space="preserve">srifle_DMR_04_F </t>
  </si>
  <si>
    <t xml:space="preserve">srifle_DMR_04_Tan_F </t>
  </si>
  <si>
    <t>U_B_CombatUniform_mcam_vest</t>
  </si>
  <si>
    <t xml:space="preserve">srifle_DMR_05_blk_F </t>
  </si>
  <si>
    <t>U_B_CombatUniform_mcam_worn</t>
  </si>
  <si>
    <t xml:space="preserve">srifle_DMR_05_hex_F </t>
  </si>
  <si>
    <t xml:space="preserve">srifle_DMR_05_tan_f </t>
  </si>
  <si>
    <t>U_B_CTRG_1</t>
  </si>
  <si>
    <t xml:space="preserve">srifle_DMR_06_camo_F </t>
  </si>
  <si>
    <t>U_B_CTRG_2</t>
  </si>
  <si>
    <t xml:space="preserve">srifle_DMR_06_olive_F </t>
  </si>
  <si>
    <t>U_I_CombatUniform</t>
  </si>
  <si>
    <t xml:space="preserve">srifle_EBR_F </t>
  </si>
  <si>
    <t xml:space="preserve">srifle_GM6_camo_F </t>
  </si>
  <si>
    <t xml:space="preserve">srifle_GM6_F </t>
  </si>
  <si>
    <t xml:space="preserve">srifle_LRR_camo_F </t>
  </si>
  <si>
    <t xml:space="preserve">srifle_LRR_F </t>
  </si>
  <si>
    <t>U_O_CombatUniform_ocamo</t>
  </si>
  <si>
    <t>// AMMUNITION</t>
  </si>
  <si>
    <t>U_O_CombatUniform_oucamo</t>
  </si>
  <si>
    <t>U_O_OfficerUniform_ocamo</t>
  </si>
  <si>
    <t>U_B_SpecopsUniform_sgg</t>
  </si>
  <si>
    <t xml:space="preserve">6Rnd_GreenSignal_F </t>
  </si>
  <si>
    <t xml:space="preserve">6Rnd_RedSignal_F </t>
  </si>
  <si>
    <t>U_O_SpecopsUniform_blk</t>
  </si>
  <si>
    <t xml:space="preserve">6Rnd_45ACP_Cylinder </t>
  </si>
  <si>
    <t>U_O_SpecopsUniform_ocamo</t>
  </si>
  <si>
    <t xml:space="preserve">9Rnd_45ACP_Mag </t>
  </si>
  <si>
    <t xml:space="preserve">11Rnd_45ACP_Mag </t>
  </si>
  <si>
    <t>U_I_G_Story_Protagonist_F</t>
  </si>
  <si>
    <t xml:space="preserve">16Rnd_9x21_Mag </t>
  </si>
  <si>
    <t xml:space="preserve">30Rnd_45ACP_Mag_SMG_01 </t>
  </si>
  <si>
    <t>Exile_Uniform_Woodland</t>
  </si>
  <si>
    <t xml:space="preserve">30Rnd_45ACP_Mag_SMG_01_Tracer_Green </t>
  </si>
  <si>
    <t>GUERILLA_CLOTHING</t>
  </si>
  <si>
    <t>30Rnd_45ACP_Mag_SMG_01_Tracer_Yellow</t>
  </si>
  <si>
    <t>30Rnd_45ACP_Mag_SMG_01_Tracer_Red</t>
  </si>
  <si>
    <t xml:space="preserve">30Rnd_9x21_Mag </t>
  </si>
  <si>
    <t xml:space="preserve">100Rnd_65x39_caseless_mag </t>
  </si>
  <si>
    <t xml:space="preserve">100Rnd_65x39_caseless_mag_Tracer </t>
  </si>
  <si>
    <t xml:space="preserve">130Rnd_338_Mag </t>
  </si>
  <si>
    <t xml:space="preserve">150Rnd_762x54_Box </t>
  </si>
  <si>
    <t xml:space="preserve">150Rnd_93x64_Mag </t>
  </si>
  <si>
    <t xml:space="preserve">150Rnd_762x54_Box_Tracer </t>
  </si>
  <si>
    <t xml:space="preserve">200Rnd_65x39_cased_Box </t>
  </si>
  <si>
    <t xml:space="preserve">200Rnd_65x39_cased_Box_Tracer </t>
  </si>
  <si>
    <t xml:space="preserve">20Rnd_556x45_UW_mag </t>
  </si>
  <si>
    <t>GHILLIE_SUITS</t>
  </si>
  <si>
    <t xml:space="preserve">30Rnd_556x45_Stanag </t>
  </si>
  <si>
    <t>30Rnd_556x45_Stanag_green</t>
  </si>
  <si>
    <t>30Rnd_556x45_Stanag_red</t>
  </si>
  <si>
    <t xml:space="preserve">30Rnd_65x39_caseless_green </t>
  </si>
  <si>
    <t xml:space="preserve">30Rnd_65x39_caseless_mag </t>
  </si>
  <si>
    <t xml:space="preserve">30Rnd_556x45_Stanag_Tracer_Green </t>
  </si>
  <si>
    <t xml:space="preserve">30Rnd_556x45_Stanag_Tracer_Red </t>
  </si>
  <si>
    <t xml:space="preserve">30Rnd_556x45_Stanag_Tracer_Yellow </t>
  </si>
  <si>
    <t xml:space="preserve">30Rnd_65x39_caseless_green_mag_Tracer </t>
  </si>
  <si>
    <t xml:space="preserve">30Rnd_65x39_caseless_mag_Tracer </t>
  </si>
  <si>
    <t>WETSUITS</t>
  </si>
  <si>
    <t>10Rnd_762x51_Mag</t>
  </si>
  <si>
    <t xml:space="preserve">10Rnd_762x54_Mag </t>
  </si>
  <si>
    <t xml:space="preserve">10Rnd_338_Mag </t>
  </si>
  <si>
    <t xml:space="preserve">10Rnd_93x64_DMR_05_Mag </t>
  </si>
  <si>
    <t xml:space="preserve">10Rnd_127x54_Mag </t>
  </si>
  <si>
    <t xml:space="preserve">7Rnd_408_Mag </t>
  </si>
  <si>
    <t xml:space="preserve">20Rnd_762x51_Mag </t>
  </si>
  <si>
    <t xml:space="preserve">5Rnd_127x108_Mag </t>
  </si>
  <si>
    <t>PILOT_CLOTHING</t>
  </si>
  <si>
    <t xml:space="preserve">5Rnd_127x108_APDS_Mag </t>
  </si>
  <si>
    <t>// ATTACHMENTS</t>
  </si>
  <si>
    <t>optic_MRD</t>
  </si>
  <si>
    <t>HANDGUNS</t>
  </si>
  <si>
    <t>ACP-C2 .45 ACP</t>
  </si>
  <si>
    <t>hgun_ACPC2_F</t>
  </si>
  <si>
    <t>PD7 9mm</t>
  </si>
  <si>
    <t>hgun_P07_F</t>
  </si>
  <si>
    <t>optic_Yorris</t>
  </si>
  <si>
    <t>4-five .45 ACP</t>
  </si>
  <si>
    <t>hgun_Pistol_heavy_01_F</t>
  </si>
  <si>
    <t>Zubr .45 ACP</t>
  </si>
  <si>
    <t>hgun_Pistol_heavy_02_F</t>
  </si>
  <si>
    <t xml:space="preserve">muzzle_snds_acp </t>
  </si>
  <si>
    <t>Starter Pistol</t>
  </si>
  <si>
    <t>hgun_Pistol_Signal_F</t>
  </si>
  <si>
    <t>Rook-40 9mm</t>
  </si>
  <si>
    <t xml:space="preserve">muzzle_snds_L </t>
  </si>
  <si>
    <t>hgun_Rook40_F</t>
  </si>
  <si>
    <t>MP443</t>
  </si>
  <si>
    <t>rhs_weap_pya</t>
  </si>
  <si>
    <t>optic_Holosight_smg</t>
  </si>
  <si>
    <t>Makarov</t>
  </si>
  <si>
    <t>rhs_weap_makarov_pmm</t>
  </si>
  <si>
    <t>M1911</t>
  </si>
  <si>
    <t>rhsusf_weap_m1911a1</t>
  </si>
  <si>
    <t>optic_ACO_grn_smg</t>
  </si>
  <si>
    <t>Glock 17</t>
  </si>
  <si>
    <t>rhsusf_weap_glock17g4</t>
  </si>
  <si>
    <t>optic_Aco_smg</t>
  </si>
  <si>
    <t>SUB_MACHINE_GUNS</t>
  </si>
  <si>
    <t>PDW2000</t>
  </si>
  <si>
    <t>hgun_PDW2000_F</t>
  </si>
  <si>
    <t>optic_ACO_grn</t>
  </si>
  <si>
    <t>Vermin SMG .45 ACP</t>
  </si>
  <si>
    <t>SMG_01_F</t>
  </si>
  <si>
    <t>Sting 9mm</t>
  </si>
  <si>
    <t>SMG_02_F</t>
  </si>
  <si>
    <t>optic_Aco</t>
  </si>
  <si>
    <t>LIGHT_MACHINE_GUNS</t>
  </si>
  <si>
    <t xml:space="preserve">muzzle_snds_M </t>
  </si>
  <si>
    <t>MX SW 6.5 mm (Black)</t>
  </si>
  <si>
    <t xml:space="preserve">muzzle_snds_H </t>
  </si>
  <si>
    <t>optic_Arco</t>
  </si>
  <si>
    <t>optic_Hamr</t>
  </si>
  <si>
    <t>optic_Holosight</t>
  </si>
  <si>
    <t xml:space="preserve">acc_flashlight </t>
  </si>
  <si>
    <t xml:space="preserve">acc_pointer_IR </t>
  </si>
  <si>
    <t>optic_MRCO</t>
  </si>
  <si>
    <t>optic_DMS</t>
  </si>
  <si>
    <t>optic_NVS</t>
  </si>
  <si>
    <t>bipod_01_F_blk</t>
  </si>
  <si>
    <t>bipod_01_F_mtp</t>
  </si>
  <si>
    <t>bipod_01_F_snd</t>
  </si>
  <si>
    <t>bipod_02_F_blk</t>
  </si>
  <si>
    <t>bipod_02_F_hex</t>
  </si>
  <si>
    <t>bipod_02_F_tan</t>
  </si>
  <si>
    <t>bipod_03_F_blk</t>
  </si>
  <si>
    <t>bipod_03_F_oli</t>
  </si>
  <si>
    <t>MX SW 6.5 mm</t>
  </si>
  <si>
    <t>MK200 6.5 mm</t>
  </si>
  <si>
    <t xml:space="preserve">muzzle_snds_338_black </t>
  </si>
  <si>
    <t>Navid 9.3 mm (Hex)</t>
  </si>
  <si>
    <t xml:space="preserve">muzzle_snds_338_green </t>
  </si>
  <si>
    <t>Navid 9.3 mm (Tan)</t>
  </si>
  <si>
    <t xml:space="preserve">muzzle_snds_338_sand </t>
  </si>
  <si>
    <t xml:space="preserve">muzzle_snds_93mmg </t>
  </si>
  <si>
    <t xml:space="preserve">muzzle_snds_93mmg_tan </t>
  </si>
  <si>
    <t>SPMG .338 (MTP)</t>
  </si>
  <si>
    <t xml:space="preserve">muzzle_snds_B </t>
  </si>
  <si>
    <t>SPMG .338 (Black)</t>
  </si>
  <si>
    <t>optic_AMS</t>
  </si>
  <si>
    <t>SPMG .338 (Sand)</t>
  </si>
  <si>
    <t>optic_AMS_khk</t>
  </si>
  <si>
    <t>optic_AMS_snd</t>
  </si>
  <si>
    <t>Zafir 7.62 mm</t>
  </si>
  <si>
    <t>optic_KHS_blk</t>
  </si>
  <si>
    <t>M249 Long</t>
  </si>
  <si>
    <t>rhs_weap_m249_pip_L</t>
  </si>
  <si>
    <t>optic_KHS_hex</t>
  </si>
  <si>
    <t>M249 Long Para Stock</t>
  </si>
  <si>
    <t>rhs_weap_m249_pip_L_para</t>
  </si>
  <si>
    <t>optic_KHS_old</t>
  </si>
  <si>
    <t>optic_KHS_tan</t>
  </si>
  <si>
    <t>M249 Long Grip</t>
  </si>
  <si>
    <t>rhs_weap_m249_pip_L_vfg</t>
  </si>
  <si>
    <t>M249 Short</t>
  </si>
  <si>
    <t>rhs_weap_m249_pip_S</t>
  </si>
  <si>
    <t>optic_Nightstalker</t>
  </si>
  <si>
    <t>M249 Short Para Stock</t>
  </si>
  <si>
    <t>rhs_weap_m249_pip_S_para</t>
  </si>
  <si>
    <t>M249 Short Grip</t>
  </si>
  <si>
    <t>rhs_weap_m249_pip_S_vfg</t>
  </si>
  <si>
    <t>optic_SOS</t>
  </si>
  <si>
    <t>M240B with Ammo Bag</t>
  </si>
  <si>
    <t>rhs_weap_m240B_CAP</t>
  </si>
  <si>
    <t>optic_LRPS</t>
  </si>
  <si>
    <t>PKM</t>
  </si>
  <si>
    <t>rhs_weap_pkm</t>
  </si>
  <si>
    <t>// SMOKES, GRENADES, EXPLOSIVES, FLARES</t>
  </si>
  <si>
    <t>PKP</t>
  </si>
  <si>
    <t>rhs_weap_pkp</t>
  </si>
  <si>
    <t>ASSAULT_RIFLES</t>
  </si>
  <si>
    <t>SmokeShell</t>
  </si>
  <si>
    <t>Katiba Carbine 6.5 mm</t>
  </si>
  <si>
    <t>SmokeShellBlue</t>
  </si>
  <si>
    <t>SmokeShellGreen</t>
  </si>
  <si>
    <t>SmokeShellOrange</t>
  </si>
  <si>
    <t>SmokeShellPurple</t>
  </si>
  <si>
    <t>Katiba 6.5 mm</t>
  </si>
  <si>
    <t>SmokeShellRed</t>
  </si>
  <si>
    <t>SmokeShellYellow</t>
  </si>
  <si>
    <t>Katiba GL 6.5 mm</t>
  </si>
  <si>
    <t>1Rnd_Smoke_Grenade_shell</t>
  </si>
  <si>
    <t>Mk20 5.56 mm (Camo)</t>
  </si>
  <si>
    <t>1Rnd_SmokeBlue_Grenade_shell</t>
  </si>
  <si>
    <t>1Rnd_SmokeGreen_Grenade_shell</t>
  </si>
  <si>
    <t>Mk20 EGLM 5.56 mm (Camo)</t>
  </si>
  <si>
    <t>1Rnd_SmokeOrange_Grenade_shell</t>
  </si>
  <si>
    <t>1Rnd_SmokePurple_Grenade_shell</t>
  </si>
  <si>
    <t>1Rnd_SmokeRed_Grenade_shell</t>
  </si>
  <si>
    <t>1Rnd_SmokeYellow_Grenade_shell</t>
  </si>
  <si>
    <t>3Rnd_Smoke_Grenade_shell</t>
  </si>
  <si>
    <t>3Rnd_SmokeBlue_Grenade_shell</t>
  </si>
  <si>
    <t>Mk20 EGLM 5.56 mm</t>
  </si>
  <si>
    <t>3Rnd_SmokeGreen_Grenade_shell</t>
  </si>
  <si>
    <t>3Rnd_SmokeOrange_Grenade_shell</t>
  </si>
  <si>
    <t>3Rnd_SmokePurple_Grenade_shell</t>
  </si>
  <si>
    <t>Mk20 5.56mm</t>
  </si>
  <si>
    <t>3Rnd_SmokeRed_Grenade_shell</t>
  </si>
  <si>
    <t>3Rnd_SmokeYellow_Grenade_shell</t>
  </si>
  <si>
    <t>Mk20C 5.56 mm (Camo)</t>
  </si>
  <si>
    <t>HandGrenade</t>
  </si>
  <si>
    <t>MiniGrenade</t>
  </si>
  <si>
    <t>MX 6.5 mm (Black)</t>
  </si>
  <si>
    <t>B_IR_Grenade</t>
  </si>
  <si>
    <t>O_IR_Grenade</t>
  </si>
  <si>
    <t>I_IR_Grenade</t>
  </si>
  <si>
    <t>MX 6.5 mm</t>
  </si>
  <si>
    <t>1Rnd_HE_Grenade_shell</t>
  </si>
  <si>
    <t>3Rnd_HE_Grenade_shell</t>
  </si>
  <si>
    <t>MX 3GL 6.5 mm (Black)</t>
  </si>
  <si>
    <t>MX 3GL 6.5 mm</t>
  </si>
  <si>
    <t>APERSBoundingMine_Range_Mag</t>
  </si>
  <si>
    <t>APERSMine_Range_Mag</t>
  </si>
  <si>
    <t>MXC 6.5 mm (Black)</t>
  </si>
  <si>
    <t>APERSTripMine_Wire_Mag</t>
  </si>
  <si>
    <t>MXC 6.5 mm</t>
  </si>
  <si>
    <t>ClaymoreDirectionalMine_Remote_Mag</t>
  </si>
  <si>
    <t>DemoCharge_Remote_Mag</t>
  </si>
  <si>
    <t>IEDLandBig_Remote_Mag</t>
  </si>
  <si>
    <t>IEDLandSmall_Remote_Mag</t>
  </si>
  <si>
    <t>IEDUrbanBig_Remote_Mag</t>
  </si>
  <si>
    <t>SDAR 5.56 mm</t>
  </si>
  <si>
    <t>IEDUrbanSmall_Remote_Mag</t>
  </si>
  <si>
    <t>SatchelCharge_Remote_Mag</t>
  </si>
  <si>
    <t>SLAMDirectionalMine_Wire_Mag</t>
  </si>
  <si>
    <t>TRG-20 5.56 mm</t>
  </si>
  <si>
    <t>Chemlight_blue</t>
  </si>
  <si>
    <t>TRG-21 5.56 mm</t>
  </si>
  <si>
    <t>Chemlight_green</t>
  </si>
  <si>
    <t>Chemlight_red</t>
  </si>
  <si>
    <t>FlareGreen_F</t>
  </si>
  <si>
    <t>FlareRed_F</t>
  </si>
  <si>
    <t>TRG-21 EGLM 5.56 mm</t>
  </si>
  <si>
    <t>FlareWhite_F</t>
  </si>
  <si>
    <t>FlareYellow_F</t>
  </si>
  <si>
    <t>UGL_FlareGreen_F</t>
  </si>
  <si>
    <t>AK103</t>
  </si>
  <si>
    <t>UGL_FlareRed_F</t>
  </si>
  <si>
    <t>rhs_weap_ak103</t>
  </si>
  <si>
    <t>UGL_FlareWhite_F</t>
  </si>
  <si>
    <t>UGL_FlareYellow_F</t>
  </si>
  <si>
    <t>3Rnd_UGL_FlareGreen_F</t>
  </si>
  <si>
    <t>3Rnd_UGL_FlareRed_F</t>
  </si>
  <si>
    <t>3Rnd_UGL_FlareWhite_F</t>
  </si>
  <si>
    <t>AK103 With RIS</t>
  </si>
  <si>
    <t>3Rnd_UGL_FlareYellow_F</t>
  </si>
  <si>
    <t>rhs_weap_ak103_npz</t>
  </si>
  <si>
    <t>// FOOD AND DRINKS</t>
  </si>
  <si>
    <t xml:space="preserve">AK74M </t>
  </si>
  <si>
    <t>rhs_weap_ak74m</t>
  </si>
  <si>
    <t>Exile_Item_EMRE</t>
  </si>
  <si>
    <t>Exile_Item_GloriousKnakworst</t>
  </si>
  <si>
    <t>AK74M Folded</t>
  </si>
  <si>
    <t>rhs_weap_ak74m_folded</t>
  </si>
  <si>
    <t>Exile_Item_Surstromming</t>
  </si>
  <si>
    <t>Exile_Item_SausageGravy</t>
  </si>
  <si>
    <t>Exile_Item_Catfood</t>
  </si>
  <si>
    <t>Exile_Item_ChristmasTinner</t>
  </si>
  <si>
    <t>AK74M With RIS</t>
  </si>
  <si>
    <t>rhs_weap_ak74m_npz</t>
  </si>
  <si>
    <t>Exile_Item_BBQSandwich</t>
  </si>
  <si>
    <t>Exile_Item_Dogfood</t>
  </si>
  <si>
    <t>Exile_Item_BeefParts</t>
  </si>
  <si>
    <t>AK74M With Grenade Launcher</t>
  </si>
  <si>
    <t>rhs_weap_ak74m_gp25</t>
  </si>
  <si>
    <t>Exile_Item_Cheathas</t>
  </si>
  <si>
    <t>Exile_Item_Noodles</t>
  </si>
  <si>
    <t>Exile_Item_SeedAstics</t>
  </si>
  <si>
    <t>Exile_Item_Raisins</t>
  </si>
  <si>
    <t>AK74M With Grenade Launcher Folded</t>
  </si>
  <si>
    <t>rhs_weap_ak74m_gp25_folded</t>
  </si>
  <si>
    <t>Exile_Item_Moobar</t>
  </si>
  <si>
    <t>Exile_Item_InstantCoffee</t>
  </si>
  <si>
    <t>Exile_Item_CookingPot</t>
  </si>
  <si>
    <t>Exile_Item_CanOpener</t>
  </si>
  <si>
    <t>AK74M With Grenade Launcher &amp; RIS</t>
  </si>
  <si>
    <t>rhs_weap_ak74m_gp25_npz</t>
  </si>
  <si>
    <t xml:space="preserve">Exile_Item_Matches </t>
  </si>
  <si>
    <t>AK74M Woodland Camo</t>
  </si>
  <si>
    <t>rhs_weap_ak74m_camo</t>
  </si>
  <si>
    <t>Exile_Item_PlasticBottleCoffee</t>
  </si>
  <si>
    <t>Exile_Item_PowerDrink</t>
  </si>
  <si>
    <t>AK74M Woodland Camo Folded</t>
  </si>
  <si>
    <t>rhs_weap_ak74m_camo_folded</t>
  </si>
  <si>
    <t xml:space="preserve">Exile_Item_PlasticBottleFreshWater </t>
  </si>
  <si>
    <t xml:space="preserve">Exile_Item_Beer </t>
  </si>
  <si>
    <t>Exile_Item_EnergyDrink</t>
  </si>
  <si>
    <t>Exile_Item_MountainDupe</t>
  </si>
  <si>
    <t>Exile_Item_PlasticBottleDirtyWater</t>
  </si>
  <si>
    <t>// OTHER STUFF</t>
  </si>
  <si>
    <t>AK74M Woodland Camo With RIS</t>
  </si>
  <si>
    <t>rhs_weap_ak74m_camo_npz</t>
  </si>
  <si>
    <t>ItemWatch</t>
  </si>
  <si>
    <t>ItemGPS</t>
  </si>
  <si>
    <t>ItemRadio</t>
  </si>
  <si>
    <t>Binocular</t>
  </si>
  <si>
    <t>Rangefinder</t>
  </si>
  <si>
    <t>AK74M Desert Camo</t>
  </si>
  <si>
    <t>NVGoggles</t>
  </si>
  <si>
    <t>rhs_weap_ak74m_desert</t>
  </si>
  <si>
    <t>NVGoggles_INDEP</t>
  </si>
  <si>
    <t>NVGoggles_OPFOR</t>
  </si>
  <si>
    <t>Exile_Item_ZipTie</t>
  </si>
  <si>
    <t>AK74M Desert Camo Folded</t>
  </si>
  <si>
    <t>rhs_weap_ak74m_desert_folded</t>
  </si>
  <si>
    <t>Exile_Item_Laptop</t>
  </si>
  <si>
    <t>Exile_Item_BaseCameraKit</t>
  </si>
  <si>
    <t>Exile_Item_ThermalScannerPro</t>
  </si>
  <si>
    <t>AK74M Desert Camo With RIS</t>
  </si>
  <si>
    <t>rhs_weap_ak74m_desert_npz</t>
  </si>
  <si>
    <t>AKM</t>
  </si>
  <si>
    <t>rhs_weap_akm</t>
  </si>
  <si>
    <t>AKMS</t>
  </si>
  <si>
    <t>rhs_weap_akms</t>
  </si>
  <si>
    <t>Exile_Item_InstaDoc</t>
  </si>
  <si>
    <t>Exile_Item_Vishpirin</t>
  </si>
  <si>
    <t>Exile_Item_Bandage</t>
  </si>
  <si>
    <t>AKM With Grenade Launcher</t>
  </si>
  <si>
    <t>rhs_weap_akm_gp25</t>
  </si>
  <si>
    <t>Exile_Item_Rope</t>
  </si>
  <si>
    <t>Exile_Item_DuctTape</t>
  </si>
  <si>
    <t>Exile_Item_ExtensionCord</t>
  </si>
  <si>
    <t>AKMS With Grenade Launcher</t>
  </si>
  <si>
    <t>Exile_Item_FuelCanisterEmpty</t>
  </si>
  <si>
    <t>rhs_weap_akms_gp25</t>
  </si>
  <si>
    <t>Exile_Item_JunkMetal</t>
  </si>
  <si>
    <t>Exile_Item_LightBulb</t>
  </si>
  <si>
    <t>Exile_Item_MetalBoard</t>
  </si>
  <si>
    <t>M4</t>
  </si>
  <si>
    <t>rhs_weap_m4</t>
  </si>
  <si>
    <t>Exile_Item_CamoTentKit</t>
  </si>
  <si>
    <t>Exile_Item_MetalPole</t>
  </si>
  <si>
    <t>Exile_Item_FuelCanisterFull</t>
  </si>
  <si>
    <t>M4 With Carryhandle</t>
  </si>
  <si>
    <t>rhs_weap_m4_carryhandle</t>
  </si>
  <si>
    <t>Exile_Item_PortableGeneratorKit</t>
  </si>
  <si>
    <t>Exile_Item_FloodLightKit</t>
  </si>
  <si>
    <t>M4 With Carryhandle &amp; Plastic Mag</t>
  </si>
  <si>
    <t>Exile_Item_Handsaw</t>
  </si>
  <si>
    <t>rhs_weap_m4_carryhandle_pmag</t>
  </si>
  <si>
    <t>Exile_Item_Pliers</t>
  </si>
  <si>
    <t>Exile_Item_Grinder</t>
  </si>
  <si>
    <t>M4 With Grippod</t>
  </si>
  <si>
    <t>Exile_Melee_Axe</t>
  </si>
  <si>
    <t>rhs_weap_m4_grip</t>
  </si>
  <si>
    <t>Exile_Item_Can_Empty</t>
  </si>
  <si>
    <t>Exile_Item_ToiletPaper</t>
  </si>
  <si>
    <t>M4 With Angled Grip</t>
  </si>
  <si>
    <t>rhs_weap_m4_grip2</t>
  </si>
  <si>
    <t>Exile_Item_PlasticBottleEmpty</t>
  </si>
  <si>
    <t>Unused</t>
  </si>
  <si>
    <t>Exile_Item_CordlessScrewdriver</t>
  </si>
  <si>
    <t>Exile_Item_FireExtinguisher</t>
  </si>
  <si>
    <t>M4 With M203 Grenade Launcher</t>
  </si>
  <si>
    <t>rhs_weap_m4_m203</t>
  </si>
  <si>
    <t>Exile_Item_Foolbox</t>
  </si>
  <si>
    <t>Exile_Item_Screwdriver</t>
  </si>
  <si>
    <t>Exile_Item_OilCanister</t>
  </si>
  <si>
    <t>Exile_Item_Hammer</t>
  </si>
  <si>
    <t>M4 With M320 Grenade Launcher</t>
  </si>
  <si>
    <t>rhs_weap_m4_m320</t>
  </si>
  <si>
    <t>Exile_Item_Shovel</t>
  </si>
  <si>
    <t>Exile_Item_Screws</t>
  </si>
  <si>
    <t>Exile_Item_Cement</t>
  </si>
  <si>
    <t>M4A1</t>
  </si>
  <si>
    <t>Exile_Item_Sand</t>
  </si>
  <si>
    <t>rhs_weap_m4a1</t>
  </si>
  <si>
    <t>Exile_Item_Carwheel</t>
  </si>
  <si>
    <t>Exile_Item_SleepingMat</t>
  </si>
  <si>
    <t>Exile_Item_Defibrillator</t>
  </si>
  <si>
    <t>Exile_Item_Wrench</t>
  </si>
  <si>
    <t>M4A1 With Grippod</t>
  </si>
  <si>
    <t>rhs_weap_m4a1_grip</t>
  </si>
  <si>
    <t>M4A1 With Angled Grip</t>
  </si>
  <si>
    <t>rhs_weap_m4a1_grip2</t>
  </si>
  <si>
    <t>M4A1 With M203 Grenade Launcher</t>
  </si>
  <si>
    <t>rhs_weap_m4a1_m203</t>
  </si>
  <si>
    <t>M4A1 With M320 Grenade Launcher</t>
  </si>
  <si>
    <t>rhs_weap_m4a1_m320</t>
  </si>
  <si>
    <t>M4A1 Block II</t>
  </si>
  <si>
    <t>rhs_weap_m4a1_blockII</t>
  </si>
  <si>
    <t>M4A1 Block II With Angled Grip</t>
  </si>
  <si>
    <t>rhs_weap_m4a1_blockII_grip2</t>
  </si>
  <si>
    <t>M4A1 Block II With Angled Grip &amp; KAC Stock</t>
  </si>
  <si>
    <t>rhs_weap_m4a1_blockII_grip2_KAC</t>
  </si>
  <si>
    <t>M4A1 Block II With KAC Stock</t>
  </si>
  <si>
    <t>rhs_weap_m4a1_blockII_KAC</t>
  </si>
  <si>
    <t>rhs_weap_m4a1_blockII_M203</t>
  </si>
  <si>
    <t>M4A1 With Carryhandle</t>
  </si>
  <si>
    <t>rhs_weap_m4a1_carryhandle</t>
  </si>
  <si>
    <t>Note: LootTables data for Spartan's server. We use slightly different loot categories from the vanilla Exile.</t>
  </si>
  <si>
    <t>M4A1 With Carryhandle &amp; Grippod</t>
  </si>
  <si>
    <t>rhs_weap_m4a1_carryhandle_grip</t>
  </si>
  <si>
    <t>M4A1 With Carryhandle &amp; Angled Grip</t>
  </si>
  <si>
    <t>rhs_weap_m4a1_carryhandle_grip2</t>
  </si>
  <si>
    <t>M4A1 With Carryhandle &amp; M203 Grenade Launcher</t>
  </si>
  <si>
    <t>rhs_weap_m4a1_carryhandle_m203</t>
  </si>
  <si>
    <t>M4A1 With Carryhandle &amp; Plastic Mag</t>
  </si>
  <si>
    <t>rhs_weap_m4a1_carryhandle_pmag</t>
  </si>
  <si>
    <t>M590 Shotgun Short</t>
  </si>
  <si>
    <t>rhs_weap_M590_5RD</t>
  </si>
  <si>
    <t>M590 Shotgun Long</t>
  </si>
  <si>
    <t>rhs_weap_M590_8RD</t>
  </si>
  <si>
    <t>Mk18</t>
  </si>
  <si>
    <t>rhs_weap_mk18</t>
  </si>
  <si>
    <t>Mk18 With Angled Grip</t>
  </si>
  <si>
    <t>rhs_weap_mk18_grip2</t>
  </si>
  <si>
    <t>Mk18 With Angled Grip &amp; KAC Stock</t>
  </si>
  <si>
    <t>rhs_weap_mk18_grip2_KAC</t>
  </si>
  <si>
    <t>Mk18 With KAC Stock</t>
  </si>
  <si>
    <t>rhs_weap_mk18_KAC</t>
  </si>
  <si>
    <t>Mk18 With M320 Grenade Launcher</t>
  </si>
  <si>
    <t>rhs_weap_mk18_m320</t>
  </si>
  <si>
    <t>M16A4</t>
  </si>
  <si>
    <t>rhs_weap_m16a4</t>
  </si>
  <si>
    <t>M16A4 With Grippod</t>
  </si>
  <si>
    <t>rhs_weap_m16a4_grip</t>
  </si>
  <si>
    <t>M16A4 With Carryhandle</t>
  </si>
  <si>
    <t>rhs_weap_m16a4_carryhandle</t>
  </si>
  <si>
    <t>M16A4 With Carryhandle &amp; Plastic Mag</t>
  </si>
  <si>
    <t>rhs_weap_m16a4_carryhandle_pmag</t>
  </si>
  <si>
    <t>M16A4 With Carryhandle &amp; Grippod</t>
  </si>
  <si>
    <t>rhs_weap_m16a4_carryhandle_grip</t>
  </si>
  <si>
    <t>M16A4 With Carryhandle &amp; Grippod &amp; Plastic Mag</t>
  </si>
  <si>
    <t>rhs_weap_m16a4_carryhandle_grip_pmag</t>
  </si>
  <si>
    <t>M16A4 With Carryhandle &amp; M203 Grenade Launcher</t>
  </si>
  <si>
    <t>rhs_weap_m16a4_carryhandle_M203</t>
  </si>
  <si>
    <t>// Factories, Construction Sites, Warehouses, Research etc.</t>
  </si>
  <si>
    <t>SNIPER_RIFLES</t>
  </si>
  <si>
    <t>MXM 6.5 mm (Black)</t>
  </si>
  <si>
    <t>arifle_MXM_Black_F</t>
  </si>
  <si>
    <t>MXM 6.5 mm</t>
  </si>
  <si>
    <t>arifle_MXM_F</t>
  </si>
  <si>
    <t>Rahim 7.62</t>
  </si>
  <si>
    <t>srifle_DMR_01_F</t>
  </si>
  <si>
    <t>MAR-10 .338 (Camo)</t>
  </si>
  <si>
    <t>srifle_DMR_02_camo_F</t>
  </si>
  <si>
    <t>MAR-10 .338 (Black)</t>
  </si>
  <si>
    <t>srifle_DMR_02_F</t>
  </si>
  <si>
    <t>MAR-10 .338 (Sand)</t>
  </si>
  <si>
    <t>srifle_DMR_02_sniper_F</t>
  </si>
  <si>
    <t>Mk-I EMR 7.62mm</t>
  </si>
  <si>
    <t>srifle_DMR_03_F</t>
  </si>
  <si>
    <t>Mk-I EMR 7.62mm (Khaki)</t>
  </si>
  <si>
    <t>srifle_DMR_03_khaki_F</t>
  </si>
  <si>
    <t>Mk-I EMR 7.62mm (Multicam)</t>
  </si>
  <si>
    <t>srifle_DMR_03_multicam_F</t>
  </si>
  <si>
    <t>// Specials</t>
  </si>
  <si>
    <t>&gt; Ranger</t>
  </si>
  <si>
    <t>Mk-I EMR 7.62mm (Tan)</t>
  </si>
  <si>
    <t>srifle_DMR_03_tan_F</t>
  </si>
  <si>
    <t>Mk-I EMR 7.62mm (Woodland)</t>
  </si>
  <si>
    <t>srifle_DMR_03_woodland_F</t>
  </si>
  <si>
    <t>&gt; Windmill</t>
  </si>
  <si>
    <t>ASP-1 Kir 12.7 mm</t>
  </si>
  <si>
    <t>srifle_DMR_04_F</t>
  </si>
  <si>
    <t>ASP-1 Kir 12.7 mm (Tan)</t>
  </si>
  <si>
    <t>srifle_DMR_04_Tan_F</t>
  </si>
  <si>
    <t>NormalBarracks</t>
  </si>
  <si>
    <t>Cyrus 9.3 mm (Black)</t>
  </si>
  <si>
    <t>srifle_DMR_05_blk_F</t>
  </si>
  <si>
    <t>Cyrus 9.3 mm (Hex)</t>
  </si>
  <si>
    <t>srifle_DMR_05_hex_F</t>
  </si>
  <si>
    <t>Cyrus 9.3 mm (Tan)</t>
  </si>
  <si>
    <t>srifle_DMR_05_tan_f</t>
  </si>
  <si>
    <t>Mk14 7.62 mm (Camo)</t>
  </si>
  <si>
    <t>srifle_DMR_06_camo_F</t>
  </si>
  <si>
    <t>Mk14 7.62 mm (Olive)</t>
  </si>
  <si>
    <t>srifle_DMR_06_olive_F</t>
  </si>
  <si>
    <t>Mk18 ABR 7.62 mm</t>
  </si>
  <si>
    <t>srifle_EBR_F</t>
  </si>
  <si>
    <t>GM6 Lynx 12.7 mm (Camo)</t>
  </si>
  <si>
    <t>srifle_GM6_camo_F</t>
  </si>
  <si>
    <t>GM6 Lynx 12.7 mm</t>
  </si>
  <si>
    <t>srifle_GM6_F</t>
  </si>
  <si>
    <t>M320 LRR .408 (Camo)</t>
  </si>
  <si>
    <t>srifle_LRR_camo_F</t>
  </si>
  <si>
    <t>M320 LRR .408 (Black)</t>
  </si>
  <si>
    <t>srifle_LRR_F</t>
  </si>
  <si>
    <t>Note: This output was generated using the Test - Exile LootItemGroups and Test - Exile LootTables data pasted in and run with the loot compiler. Looks like it works. :^)</t>
  </si>
  <si>
    <t>class CfgLootTables</t>
  </si>
  <si>
    <t>{</t>
  </si>
  <si>
    <t>SR25</t>
  </si>
  <si>
    <t>/**</t>
  </si>
  <si>
    <t>rhs_weap_sr25</t>
  </si>
  <si>
    <t xml:space="preserve">  Result of 100 rounds:</t>
  </si>
  <si>
    <t xml:space="preserve">  6Rnd_GreenSignal_F</t>
  </si>
  <si>
    <t xml:space="preserve">  H_Cap_red</t>
  </si>
  <si>
    <t xml:space="preserve">  ItemGPS</t>
  </si>
  <si>
    <t xml:space="preserve">  Exile_Item_BBQSandwich</t>
  </si>
  <si>
    <t xml:space="preserve">  Exile_Item_PlasticBottleEmpty</t>
  </si>
  <si>
    <t>SR25 Short</t>
  </si>
  <si>
    <t>rhs_weap_sr25_ec</t>
  </si>
  <si>
    <t xml:space="preserve">  optic_Aco</t>
  </si>
  <si>
    <t xml:space="preserve">  Exile_Item_ChristmasTinner</t>
  </si>
  <si>
    <t xml:space="preserve">  U_Competitor</t>
  </si>
  <si>
    <t xml:space="preserve">  6Rnd_45ACP_Cylinder</t>
  </si>
  <si>
    <t xml:space="preserve">  B_HuntingBackpack</t>
  </si>
  <si>
    <t xml:space="preserve">  Exile_Item_SeedAstics</t>
  </si>
  <si>
    <t xml:space="preserve">  U_C_Journalist</t>
  </si>
  <si>
    <t xml:space="preserve">  U_C_Poloshirt_burgundy</t>
  </si>
  <si>
    <t xml:space="preserve">  H_Bandanna_camo</t>
  </si>
  <si>
    <t>SVDM</t>
  </si>
  <si>
    <t>rhs_weap_svdp</t>
  </si>
  <si>
    <t xml:space="preserve">  H_Shemag_olive_hs</t>
  </si>
  <si>
    <t xml:space="preserve">  H_Bandanna_gry</t>
  </si>
  <si>
    <t xml:space="preserve">  Exile_Item_ToiletPaper</t>
  </si>
  <si>
    <t xml:space="preserve">  ItemRadio</t>
  </si>
  <si>
    <t>SVDM With RIS</t>
  </si>
  <si>
    <t xml:space="preserve">  30Rnd_9x21_Mag</t>
  </si>
  <si>
    <t>rhs_weap_svdp_npz</t>
  </si>
  <si>
    <t xml:space="preserve">  U_NikosBody</t>
  </si>
  <si>
    <t xml:space="preserve">  V_BandollierB_rgr</t>
  </si>
  <si>
    <t xml:space="preserve">  H_Bandanna_khk</t>
  </si>
  <si>
    <t xml:space="preserve">  H_Hat_tan</t>
  </si>
  <si>
    <t xml:space="preserve">  Exile_Item_Bandage</t>
  </si>
  <si>
    <t xml:space="preserve">  optic_Holosight_smg</t>
  </si>
  <si>
    <t xml:space="preserve">  V_HarnessOSpec_gry</t>
  </si>
  <si>
    <t>SVDM Camo</t>
  </si>
  <si>
    <t xml:space="preserve">  ItemWatch</t>
  </si>
  <si>
    <t>rhs_weap_svdp_wd</t>
  </si>
  <si>
    <t xml:space="preserve">  U_C_Poor_2</t>
  </si>
  <si>
    <t xml:space="preserve">  H_Cap_grn</t>
  </si>
  <si>
    <t xml:space="preserve">  Exile_Item_Vishpirin</t>
  </si>
  <si>
    <t xml:space="preserve">  B_OutdoorPack_blk</t>
  </si>
  <si>
    <t xml:space="preserve">  Exile_Item_Matches</t>
  </si>
  <si>
    <t xml:space="preserve">  Exile_Item_InstantCoffee</t>
  </si>
  <si>
    <t xml:space="preserve">  SMG_02_F</t>
  </si>
  <si>
    <t>SVDM Camo With RIS</t>
  </si>
  <si>
    <t>rhs_weap_svdp_wd_npz</t>
  </si>
  <si>
    <t xml:space="preserve">  hgun_PDW2000_F</t>
  </si>
  <si>
    <t xml:space="preserve">  Exile_Item_PlasticBottleFreshWater</t>
  </si>
  <si>
    <t xml:space="preserve">  hgun_Rook40_F</t>
  </si>
  <si>
    <t xml:space="preserve">  V_HarnessO_gry</t>
  </si>
  <si>
    <t>SVDS</t>
  </si>
  <si>
    <t xml:space="preserve">  H_Cap_tan_specops_US</t>
  </si>
  <si>
    <t>rhs_weap_svds</t>
  </si>
  <si>
    <t xml:space="preserve">  Exile_Item_Can_Empty</t>
  </si>
  <si>
    <t xml:space="preserve">  V_Chestrig_blk</t>
  </si>
  <si>
    <t xml:space="preserve">  hgun_P07_F</t>
  </si>
  <si>
    <t xml:space="preserve">  optic_ACO_grn_smg</t>
  </si>
  <si>
    <t xml:space="preserve">  30Rnd_45ACP_Mag_SMG_01</t>
  </si>
  <si>
    <t xml:space="preserve">  Exile_Item_SausageGravy</t>
  </si>
  <si>
    <t xml:space="preserve">  H_Hat_camo</t>
  </si>
  <si>
    <t>SVDS With RIS</t>
  </si>
  <si>
    <t>rhs_weap_svds_npz</t>
  </si>
  <si>
    <t xml:space="preserve">  H_Cap_press</t>
  </si>
  <si>
    <t xml:space="preserve">  H_Bandanna_sgg</t>
  </si>
  <si>
    <t xml:space="preserve">  6Rnd_RedSignal_F</t>
  </si>
  <si>
    <t xml:space="preserve">  hgun_ACPC2_F</t>
  </si>
  <si>
    <t xml:space="preserve">  H_Shemag_khk</t>
  </si>
  <si>
    <t xml:space="preserve">  H_Hat_grey</t>
  </si>
  <si>
    <t>XM2010</t>
  </si>
  <si>
    <t xml:space="preserve">  U_C_Poloshirt_stripped</t>
  </si>
  <si>
    <t>rhs_weap_XM2010</t>
  </si>
  <si>
    <t xml:space="preserve">  U_OrestesBody</t>
  </si>
  <si>
    <t xml:space="preserve">  U_C_Poloshirt_salmon</t>
  </si>
  <si>
    <t xml:space="preserve">  Binocular</t>
  </si>
  <si>
    <t xml:space="preserve">  Exile_Item_ZipTie</t>
  </si>
  <si>
    <t xml:space="preserve">  Exile_Item_Raisins</t>
  </si>
  <si>
    <t xml:space="preserve">  U_C_Poor_1</t>
  </si>
  <si>
    <t>XM2010 Woodland</t>
  </si>
  <si>
    <t>rhs_weap_XM2010_wd</t>
  </si>
  <si>
    <t xml:space="preserve">  B_OutdoorPack_blu</t>
  </si>
  <si>
    <t xml:space="preserve">  H_TurbanO_blk</t>
  </si>
  <si>
    <t xml:space="preserve">  Exile_Item_Dogfood</t>
  </si>
  <si>
    <t xml:space="preserve">  U_C_Poloshirt_blue</t>
  </si>
  <si>
    <t>class CivillianLowerClass</t>
  </si>
  <si>
    <t>XM2010 Desert</t>
  </si>
  <si>
    <t>rhs_weap_XM2010_d</t>
  </si>
  <si>
    <t>count = 136;</t>
  </si>
  <si>
    <t>half = 7704.34724199337;</t>
  </si>
  <si>
    <t>halfIndex = 68;</t>
  </si>
  <si>
    <t>sum = 9999.99999999999;</t>
  </si>
  <si>
    <t xml:space="preserve">items[] = </t>
  </si>
  <si>
    <t>{438.59649122807, "Exile_Item_PlasticBottleEmpty"}, // 4.39%</t>
  </si>
  <si>
    <t>XM2010 Semi-Arid</t>
  </si>
  <si>
    <t>{877.19298245614, "Exile_Item_ToiletPaper"}, // 4.39%</t>
  </si>
  <si>
    <t>rhs_weap_XM2010_sa</t>
  </si>
  <si>
    <t>{1315.78947368421, "Exile_Item_Can_Empty"}, // 4.39%</t>
  </si>
  <si>
    <t>{1513.15789473684, "Exile_Item_Bandage"}, // 1.97%</t>
  </si>
  <si>
    <t>{1684.78260869565, "Exile_Item_PlasticBottleDirtyWater"}, // 1.72%</t>
  </si>
  <si>
    <t>{1849.25629290618, "B_HuntingBackpack"}, // 1.64%</t>
  </si>
  <si>
    <t>{2013.7299771167, "B_OutdoorPack_blk"}, // 1.64%</t>
  </si>
  <si>
    <t>{2178.20366132723, "B_OutdoorPack_blu"}, // 1.64%</t>
  </si>
  <si>
    <t>{2342.67734553776, "B_OutdoorPack_tan"}, // 1.64%</t>
  </si>
  <si>
    <t>M14 EBR</t>
  </si>
  <si>
    <t>{2499.21092085536, "30Rnd_9x21_Mag"}, // 1.57%</t>
  </si>
  <si>
    <t>rhs_weap_m14ebrri</t>
  </si>
  <si>
    <t>{2655.74449617297, "30Rnd_45ACP_Mag_SMG_01"}, // 1.57%</t>
  </si>
  <si>
    <t>{2794.24865129762, "SMG_02_F"}, // 1.39%</t>
  </si>
  <si>
    <t>{2932.75280642227, "SMG_01_F"}, // 1.39%</t>
  </si>
  <si>
    <t>{3061.75177443053, "Exile_Item_Raisins"}, // 1.29%</t>
  </si>
  <si>
    <t>{3190.75074243879, "Exile_Item_InstantCoffee"}, // 1.29%</t>
  </si>
  <si>
    <t>{3319.74971044704, "Exile_Item_Moobar"}, // 1.29%</t>
  </si>
  <si>
    <t>M39</t>
  </si>
  <si>
    <t>{3437.478242303, "hgun_PDW2000_F"}, // 1.18%</t>
  </si>
  <si>
    <t>rhs_weap_m39</t>
  </si>
  <si>
    <t>{3551.89471827554, "Exile_Item_MountainDupe"}, // 1.14%</t>
  </si>
  <si>
    <t>{3655.09389268214, "Exile_Item_SeedAstics"}, // 1.03%</t>
  </si>
  <si>
    <t>{3753.77810320846, "ItemRadio"}, // 0.99%</t>
  </si>
  <si>
    <t>{3852.46231373477, "Exile_Item_Vishpirin"}, // 0.99%</t>
  </si>
  <si>
    <t>{3951.14652426109, "ItemWatch"}, // 0.99%</t>
  </si>
  <si>
    <t>{4049.70753352582, "6Rnd_45ACP_Cylinder"}, // 0.99%</t>
  </si>
  <si>
    <t>OPTICS</t>
  </si>
  <si>
    <t>{4148.26854279056, "6Rnd_RedSignal_F"}, // 0.99%</t>
  </si>
  <si>
    <t>{4246.82955205529, "6Rnd_GreenSignal_F"}, // 0.99%</t>
  </si>
  <si>
    <t>{4338.36273283333, "hgun_Pistol_heavy_01_F"}, // 0.92%</t>
  </si>
  <si>
    <t>{4429.89591361136, "hgun_Pistol_Signal_F"}, // 0.92%</t>
  </si>
  <si>
    <t>ACO (Red)</t>
  </si>
  <si>
    <t>{4521.42909438939, "hgun_Rook40_F"}, // 0.92%</t>
  </si>
  <si>
    <t>{4611.72837199517, "Exile_Item_Noodles"}, // 0.90%</t>
  </si>
  <si>
    <t>{4701.92361817513, "U_C_Poloshirt_blue"}, // 0.90%</t>
  </si>
  <si>
    <t>{4792.1188643551, "U_Competitor"}, // 0.90%</t>
  </si>
  <si>
    <t>{4882.31411053507, "U_NikosBody"}, // 0.90%</t>
  </si>
  <si>
    <t>ACO (Green)</t>
  </si>
  <si>
    <t>{4972.50935671503, "U_Rangemaster"}, // 0.90%</t>
  </si>
  <si>
    <t>{5062.704602895, "U_OrestesBody"}, // 0.90%</t>
  </si>
  <si>
    <t>{5152.89984907497, "U_C_Scientist"}, // 0.90%</t>
  </si>
  <si>
    <t>{5243.09509525493, "U_C_Poloshirt_tricolour"}, // 0.90%</t>
  </si>
  <si>
    <t>{5333.2903414349, "U_C_Poloshirt_stripped"}, // 0.90%</t>
  </si>
  <si>
    <t>{5423.48558761487, "U_C_Poloshirt_salmon"}, // 0.90%</t>
  </si>
  <si>
    <t>ACO SMG (Green)</t>
  </si>
  <si>
    <t>{5513.68083379483, "U_C_Poloshirt_burgundy"}, // 0.90%</t>
  </si>
  <si>
    <t>{5603.8760799748, "U_C_Journalist"}, // 0.90%</t>
  </si>
  <si>
    <t>{5694.07132615477, "U_NikosAgedBody"}, // 0.90%</t>
  </si>
  <si>
    <t>{5781.0278478939, "hgun_Pistol_heavy_02_F"}, // 0.87%</t>
  </si>
  <si>
    <t>{5866.8402048733, "Exile_Item_Beer"}, // 0.86%</t>
  </si>
  <si>
    <t>{5952.65256185271, "Exile_Item_PlasticBottleFreshWater"}, // 0.86%</t>
  </si>
  <si>
    <t>{6038.46491883211, "Exile_Item_EnergyDrink"}, // 0.86%</t>
  </si>
  <si>
    <t>{6123.22738679978, "9Rnd_45ACP_Mag"}, // 0.85%</t>
  </si>
  <si>
    <t>{6207.89557901946, "hgun_P07_F"}, // 0.85%</t>
  </si>
  <si>
    <t>{6287.98711220024, "hgun_ACPC2_F"}, // 0.80%</t>
  </si>
  <si>
    <t>ACO SMG (Red)</t>
  </si>
  <si>
    <t>{6366.83591961203, "11Rnd_45ACP_Mag"}, // 0.79%</t>
  </si>
  <si>
    <t>{6444.23530041698, "Exile_Item_BeefParts"}, // 0.77%</t>
  </si>
  <si>
    <t>{6521.63468122194, "Exile_Item_Dogfood"}, // 0.77%</t>
  </si>
  <si>
    <t>{6599.03406202689, "Exile_Item_Cheathas"}, // 0.77%</t>
  </si>
  <si>
    <t>{6666.05554832691, "16Rnd_9x21_Mag"}, // 0.67%</t>
  </si>
  <si>
    <t>{6731.84502201112, "Binocular"}, // 0.66%</t>
  </si>
  <si>
    <t>{6797.63449569533, "optic_Yorris"}, // 0.66%</t>
  </si>
  <si>
    <t>{6863.42396937954, "muzzle_snds_acp"}, // 0.66%</t>
  </si>
  <si>
    <t>{6929.21344306375, "optic_MRD"}, // 0.66%</t>
  </si>
  <si>
    <t>AMS (Black)</t>
  </si>
  <si>
    <t>{6995.00291674796, "muzzle_snds_L"}, // 0.66%</t>
  </si>
  <si>
    <t>{7060.79239043218, "Exile_Item_ZipTie"}, // 0.66%</t>
  </si>
  <si>
    <t>{7126.58186411639, "optic_Holosight_smg"}, // 0.66%</t>
  </si>
  <si>
    <t>{7192.3713378006, "optic_ACO_grn_smg"}, // 0.66%</t>
  </si>
  <si>
    <t>{7258.16081148481, "optic_Aco_smg"}, // 0.66%</t>
  </si>
  <si>
    <t>{7323.95028516902, "ItemGPS"}, // 0.66%</t>
  </si>
  <si>
    <t>{7388.44976917315, "Exile_Item_Catfood"}, // 0.64%</t>
  </si>
  <si>
    <t>{7452.94925317727, "Exile_Item_ChristmasTinner"}, // 0.64%</t>
  </si>
  <si>
    <t>{7517.4487371814, "Exile_Item_BBQSandwich"}, // 0.64%</t>
  </si>
  <si>
    <t>{7581.94822118553, "Exile_Item_Matches"}, // 0.64%</t>
  </si>
  <si>
    <t>{7643.14773158945, "H_Bandanna_cbr"}, // 0.61%</t>
  </si>
  <si>
    <t>{7704.34724199337, "H_Bandanna_gry"}, // 0.61%</t>
  </si>
  <si>
    <t>AMS (Khaki)</t>
  </si>
  <si>
    <t>{7765.54675239728, "H_Bandanna_khk"}, // 0.61%</t>
  </si>
  <si>
    <t>{7826.7462628012, "H_Bandanna_khk_hs"}, // 0.61%</t>
  </si>
  <si>
    <t>{7887.94577320512, "H_Bandanna_mcamo"}, // 0.61%</t>
  </si>
  <si>
    <t>{7949.14528360903, "H_Bandanna_sgg"}, // 0.61%</t>
  </si>
  <si>
    <t>{8010.34479401295, "H_Bandanna_surfer"}, // 0.61%</t>
  </si>
  <si>
    <t>{8071.54430441687, "H_Bandanna_camo"}, // 0.61%</t>
  </si>
  <si>
    <t>AMS (Sand)</t>
  </si>
  <si>
    <t>{8129.90593429802, "U_C_Poor_shorts_1"}, // 0.58%</t>
  </si>
  <si>
    <t>{8188.26756417918, "U_C_Poor_2"}, // 0.58%</t>
  </si>
  <si>
    <t>{8246.62919406033, "U_C_HunterBody_grn"}, // 0.58%</t>
  </si>
  <si>
    <t>{8304.99082394149, "U_C_Poor_1"}, // 0.58%</t>
  </si>
  <si>
    <t>{8362.19906192775, "Exile_Item_PlasticBottleCoffee"}, // 0.57%</t>
  </si>
  <si>
    <t>{8419.40729991402, "Exile_Item_PowerDrink"}, // 0.57%</t>
  </si>
  <si>
    <t>ARCO</t>
  </si>
  <si>
    <t>{8471.45593415786, "V_Rangemaster_belt"}, // 0.52%</t>
  </si>
  <si>
    <t>{8523.05552136116, "Exile_Item_SausageGravy"}, // 0.52%</t>
  </si>
  <si>
    <t>{8561.75521176364, "Exile_Item_GloriousKnakworst"}, // 0.39%</t>
  </si>
  <si>
    <t>{8600.45490216612, "Exile_Item_CanOpener"}, // 0.39%</t>
  </si>
  <si>
    <t>{8639.15459256859, "Exile_Item_EMRE"}, // 0.39%</t>
  </si>
  <si>
    <t>{8677.85428297107, "Exile_Item_CookingPot"}, // 0.39%</t>
  </si>
  <si>
    <t>DMS</t>
  </si>
  <si>
    <t>{8716.55397337355, "Exile_Item_Surstromming"}, // 0.39%</t>
  </si>
  <si>
    <t>{8749.44871021565, "Exile_Item_InstaDoc"}, // 0.33%</t>
  </si>
  <si>
    <t>{8782.34344705776, "optic_Aco"}, // 0.33%</t>
  </si>
  <si>
    <t>{8815.23818389986, "optic_ACO_grn"}, // 0.33%</t>
  </si>
  <si>
    <t>{8845.83793910182, "H_Cap_brn_SPECOPS"}, // 0.31%</t>
  </si>
  <si>
    <t>{8876.43769430378, "H_Hat_camo"}, // 0.31%</t>
  </si>
  <si>
    <t>{8907.03744950573, "H_Hat_checker"}, // 0.31%</t>
  </si>
  <si>
    <t>{8937.63720470769, "H_Hat_grey"}, // 0.31%</t>
  </si>
  <si>
    <t>{8968.23695990965, "H_Hat_tan"}, // 0.31%</t>
  </si>
  <si>
    <t>RCO</t>
  </si>
  <si>
    <t>{8998.83671511161, "H_StrawHat"}, // 0.31%</t>
  </si>
  <si>
    <t>{9029.43647031357, "H_StrawHat_dark"}, // 0.31%</t>
  </si>
  <si>
    <t>{9060.03622551553, "H_Shemag_khk"}, // 0.31%</t>
  </si>
  <si>
    <t>{9090.63598071748, "H_Shemag_olive"}, // 0.31%</t>
  </si>
  <si>
    <t>{9121.23573591944, "H_Hat_blue"}, // 0.31%</t>
  </si>
  <si>
    <t>{9151.8354911214, "H_Shemag_olive_hs"}, // 0.31%</t>
  </si>
  <si>
    <t>Mk17 Holosight</t>
  </si>
  <si>
    <t>{9182.43524632336, "H_Shemag_tan"}, // 0.31%</t>
  </si>
  <si>
    <t>{9213.03500152532, "H_ShemagOpen_khk"}, // 0.31%</t>
  </si>
  <si>
    <t>{9243.63475672727, "H_ShemagOpen_tan"}, // 0.31%</t>
  </si>
  <si>
    <t>{9274.23451192923, "H_Hat_brown"}, // 0.31%</t>
  </si>
  <si>
    <t>{9304.83426713119, "H_Cap_tan_specops_US"}, // 0.31%</t>
  </si>
  <si>
    <t>{9335.43402233315, "H_Cap_press"}, // 0.31%</t>
  </si>
  <si>
    <t>{9366.03377753511, "H_TurbanO_blk"}, // 0.31%</t>
  </si>
  <si>
    <t>{9396.63353273706, "H_Cap_oli"}, // 0.31%</t>
  </si>
  <si>
    <t>{9427.23328793902, "H_Cap_blu"}, // 0.31%</t>
  </si>
  <si>
    <t>Mk17 Holosight SMG</t>
  </si>
  <si>
    <t>{9457.83304314098, "H_Cap_khaki_specops_UK"}, // 0.31%</t>
  </si>
  <si>
    <t>{9488.43279834294, "H_Cap_blk_Raven"}, // 0.31%</t>
  </si>
  <si>
    <t>{9519.0325535449, "H_Cap_red"}, // 0.31%</t>
  </si>
  <si>
    <t>{9549.63230874685, "H_Cap_headphones"}, // 0.31%</t>
  </si>
  <si>
    <t>{9580.23206394881, "H_Cap_grn"}, // 0.31%</t>
  </si>
  <si>
    <t>{9610.83181915077, "H_Cap_tan"}, // 0.31%</t>
  </si>
  <si>
    <t>{9641.43157435273, "H_Cap_blk"}, // 0.31%</t>
  </si>
  <si>
    <t>{9668.65480484275, "30Rnd_45ACP_Mag_SMG_01_Tracer_Red"}, // 0.27%</t>
  </si>
  <si>
    <t>Kahlia (Black)</t>
  </si>
  <si>
    <t>{9695.87803533277, "30Rnd_45ACP_Mag_SMG_01_Tracer_Yellow"}, // 0.27%</t>
  </si>
  <si>
    <t>{9723.10126582278, "30Rnd_45ACP_Mag_SMG_01_Tracer_Green"}, // 0.27%</t>
  </si>
  <si>
    <t>{9750.16655562958, "V_BandollierB_blk"}, // 0.27%</t>
  </si>
  <si>
    <t>{9777.23184543637, "V_BandollierB_rgr"}, // 0.27%</t>
  </si>
  <si>
    <t>{9804.29713524317, "V_BandollierB_oli"}, // 0.27%</t>
  </si>
  <si>
    <t>{9831.36242504996, "V_BandollierB_khk"}, // 0.27%</t>
  </si>
  <si>
    <t>Kahlia (Hex)</t>
  </si>
  <si>
    <t>{9858.42771485676, "V_BandollierB_cbr"}, // 0.27%</t>
  </si>
  <si>
    <t>{9875.08327781479, "V_HarnessOGL_brn"}, // 0.17%</t>
  </si>
  <si>
    <t>{9891.73884077281, "V_HarnessOGL_gry"}, // 0.17%</t>
  </si>
  <si>
    <t>{9906.31245836109, "V_Chestrig_blk"}, // 0.15%</t>
  </si>
  <si>
    <t>{9920.88607594936, "V_Chestrig_oli"}, // 0.15%</t>
  </si>
  <si>
    <t>{9935.45969353763, "V_Chestrig_rgr"}, // 0.15%</t>
  </si>
  <si>
    <t>{9950.03331112591, "V_Chestrig_khk"}, // 0.15%</t>
  </si>
  <si>
    <t>Kahlia (Old)</t>
  </si>
  <si>
    <t>{9962.52498334443, "V_HarnessO_brn"}, // 0.12%</t>
  </si>
  <si>
    <t>{9975.01665556295, "V_HarnessOSpec_gry"}, // 0.12%</t>
  </si>
  <si>
    <t>{9987.50832778147, "V_HarnessOSpec_brn"}, // 0.12%</t>
  </si>
  <si>
    <t>{9999.99999999999, "V_HarnessO_gry"} // 0.12%</t>
  </si>
  <si>
    <t>};</t>
  </si>
  <si>
    <t>Kahlia (Tan</t>
  </si>
  <si>
    <t xml:space="preserve">  11Rnd_45ACP_Mag</t>
  </si>
  <si>
    <t xml:space="preserve">  16Rnd_9x21_Mag</t>
  </si>
  <si>
    <t xml:space="preserve">  hgun_Pistol_heavy_01_F</t>
  </si>
  <si>
    <t xml:space="preserve">  optic_Aco_smg</t>
  </si>
  <si>
    <t>LRPS</t>
  </si>
  <si>
    <t xml:space="preserve">  Exile_Item_PlasticBottleDirtyWater</t>
  </si>
  <si>
    <t xml:space="preserve">  U_C_Scientist</t>
  </si>
  <si>
    <t>MRCO</t>
  </si>
  <si>
    <t xml:space="preserve">  V_BandollierB_oli</t>
  </si>
  <si>
    <t>MRD</t>
  </si>
  <si>
    <t xml:space="preserve">  V_BandollierB_blk</t>
  </si>
  <si>
    <t xml:space="preserve">  Exile_Item_Moobar</t>
  </si>
  <si>
    <t xml:space="preserve">  Exile_Item_BeefParts</t>
  </si>
  <si>
    <t xml:space="preserve">  U_C_Poloshirt_tricolour</t>
  </si>
  <si>
    <t xml:space="preserve">  V_Rangemaster_belt</t>
  </si>
  <si>
    <t xml:space="preserve">  hgun_Pistol_Signal_F</t>
  </si>
  <si>
    <t>Nightstalker</t>
  </si>
  <si>
    <t xml:space="preserve">  SMG_01_F</t>
  </si>
  <si>
    <t>NVS</t>
  </si>
  <si>
    <t xml:space="preserve">  muzzle_snds_acp</t>
  </si>
  <si>
    <t xml:space="preserve">  V_BandollierB_khk</t>
  </si>
  <si>
    <t>MOS</t>
  </si>
  <si>
    <t>TWS</t>
  </si>
  <si>
    <t>optic_tws</t>
  </si>
  <si>
    <t xml:space="preserve">  U_C_Poor_shorts_1</t>
  </si>
  <si>
    <t xml:space="preserve">  H_Cap_blk</t>
  </si>
  <si>
    <t>TW MG</t>
  </si>
  <si>
    <t>optic_tws_mg</t>
  </si>
  <si>
    <t xml:space="preserve">  U_C_HunterBody_grn</t>
  </si>
  <si>
    <t>Yorris J2</t>
  </si>
  <si>
    <t xml:space="preserve">  Exile_Item_Noodles</t>
  </si>
  <si>
    <t xml:space="preserve">  H_Shemag_olive</t>
  </si>
  <si>
    <t xml:space="preserve">  H_Cap_tan</t>
  </si>
  <si>
    <t>1p29</t>
  </si>
  <si>
    <t>rhs_acc_1p29</t>
  </si>
  <si>
    <t xml:space="preserve">  B_OutdoorPack_tan</t>
  </si>
  <si>
    <t>1p63</t>
  </si>
  <si>
    <t>rhs_acc_1p63</t>
  </si>
  <si>
    <t xml:space="preserve">  Exile_Item_Beer</t>
  </si>
  <si>
    <t xml:space="preserve">  H_Bandanna_cbr</t>
  </si>
  <si>
    <t xml:space="preserve">  hgun_Pistol_heavy_02_F</t>
  </si>
  <si>
    <t xml:space="preserve">  optic_ACO_grn</t>
  </si>
  <si>
    <t>1p78</t>
  </si>
  <si>
    <t>rhs_acc_1p78</t>
  </si>
  <si>
    <t xml:space="preserve">  Exile_Item_GloriousKnakworst</t>
  </si>
  <si>
    <t>class CivillianUpperClass</t>
  </si>
  <si>
    <t>half = 7868.58839136017;</t>
  </si>
  <si>
    <t>sum = 9999.99999999998;</t>
  </si>
  <si>
    <t>1pn93_1 NVG 4x</t>
  </si>
  <si>
    <t>rhs_acc_1pn93_1</t>
  </si>
  <si>
    <t>{396.825396825397, "Exile_Item_Can_Empty"}, // 3.97%</t>
  </si>
  <si>
    <t>{793.650793650794, "Exile_Item_ToiletPaper"}, // 3.97%</t>
  </si>
  <si>
    <t>{1190.47619047619, "Exile_Item_PlasticBottleEmpty"}, // 3.97%</t>
  </si>
  <si>
    <t>{1379.31034482759, "30Rnd_9x21_Mag"}, // 1.89%</t>
  </si>
  <si>
    <t>{1568.14449917898, "30Rnd_45ACP_Mag_SMG_01"}, // 1.89%</t>
  </si>
  <si>
    <t>{1746.71592775041, "Exile_Item_Bandage"}, // 1.79%</t>
  </si>
  <si>
    <t>{1913.8003053611, "SMG_01_F"}, // 1.67%</t>
  </si>
  <si>
    <t>{2080.8846829718, "SMG_02_F"}, // 1.67%</t>
  </si>
  <si>
    <t>1pn93_2 NVG 2.7x</t>
  </si>
  <si>
    <t>{2236.16418607739, "Exile_Item_PlasticBottleDirtyWater"}, // 1.55%</t>
  </si>
  <si>
    <t>rhs_acc_1pn93_2</t>
  </si>
  <si>
    <t>{2384.97370988691, "B_HuntingBackpack"}, // 1.49%</t>
  </si>
  <si>
    <t>{2533.78323369644, "B_OutdoorPack_tan"}, // 1.49%</t>
  </si>
  <si>
    <t>{2682.59275750596, "B_OutdoorPack_blu"}, // 1.49%</t>
  </si>
  <si>
    <t>{2831.40228131548, "B_OutdoorPack_blk"}, // 1.49%</t>
  </si>
  <si>
    <t>{2973.42400228457, "hgun_PDW2000_F"}, // 1.42%</t>
  </si>
  <si>
    <t>{3107.185372001, "6Rnd_45ACP_Cylinder"}, // 1.34%</t>
  </si>
  <si>
    <t>{3240.94674171743, "6Rnd_GreenSignal_F"}, // 1.34%</t>
  </si>
  <si>
    <t>{3374.70811143385, "6Rnd_RedSignal_F"}, // 1.34%</t>
  </si>
  <si>
    <t>{3498.93171391832, "hgun_Pistol_heavy_01_F"}, // 1.24%</t>
  </si>
  <si>
    <t>{3623.1553164028, "hgun_Rook40_F"}, // 1.24%</t>
  </si>
  <si>
    <t>{3747.37891888727, "hgun_Pistol_Signal_F"}, // 1.24%</t>
  </si>
  <si>
    <t>pkas</t>
  </si>
  <si>
    <t>{3865.39134124752, "hgun_Pistol_heavy_02_F"}, // 1.18%</t>
  </si>
  <si>
    <t>rhs_acc_pkas</t>
  </si>
  <si>
    <t>{3982.10469325499, "Exile_Item_InstantCoffee"}, // 1.17%</t>
  </si>
  <si>
    <t>{4098.81804526245, "Exile_Item_Moobar"}, // 1.17%</t>
  </si>
  <si>
    <t>{4215.53139726992, "Exile_Item_Raisins"}, // 1.17%</t>
  </si>
  <si>
    <t>{4330.56617522605, "9Rnd_45ACP_Mag"}, // 1.15%</t>
  </si>
  <si>
    <t>{4445.47300752419, "hgun_P07_F"}, // 1.15%</t>
  </si>
  <si>
    <t>{4554.1686596981, "hgun_ACPC2_F"}, // 1.09%</t>
  </si>
  <si>
    <t>ekp1</t>
  </si>
  <si>
    <t>rhs_acc_ekp1</t>
  </si>
  <si>
    <t>{4661.17775547124, "11Rnd_45ACP_Mag"}, // 1.07%</t>
  </si>
  <si>
    <t>{4764.6974242083, "Exile_Item_MountainDupe"}, // 1.04%</t>
  </si>
  <si>
    <t>{4858.06810581428, "Exile_Item_SeedAstics"}, // 0.93%</t>
  </si>
  <si>
    <t>{4949.02583722145, "16Rnd_9x21_Mag"}, // 0.91%</t>
  </si>
  <si>
    <t>{5038.31155150716, "muzzle_snds_L"}, // 0.89%</t>
  </si>
  <si>
    <t>{5127.59726579288, "optic_Yorris"}, // 0.89%</t>
  </si>
  <si>
    <t>{5216.88298007859, "muzzle_snds_acp"}, // 0.89%</t>
  </si>
  <si>
    <t>{5306.1686943643, "ItemWatch"}, // 0.89%</t>
  </si>
  <si>
    <t>pso1m2</t>
  </si>
  <si>
    <t>rhs_acc_pso1m2</t>
  </si>
  <si>
    <t>{5395.45440865002, "ItemRadio"}, // 0.89%</t>
  </si>
  <si>
    <t>{5484.74012293573, "Exile_Item_Vishpirin"}, // 0.89%</t>
  </si>
  <si>
    <t>{5574.02583722145, "optic_Holosight_smg"}, // 0.89%</t>
  </si>
  <si>
    <t>{5663.31155150716, "optic_ACO_grn_smg"}, // 0.89%</t>
  </si>
  <si>
    <t>{5752.59726579288, "optic_Aco_smg"}, // 0.89%</t>
  </si>
  <si>
    <t>{5841.88298007859, "optic_MRD"}, // 0.89%</t>
  </si>
  <si>
    <t>{5923.58232648382, "Exile_Item_Noodles"}, // 0.82%</t>
  </si>
  <si>
    <t>{6005.18754921808, "U_C_Poloshirt_burgundy"}, // 0.82%</t>
  </si>
  <si>
    <t>{6086.79277195233, "U_C_Poloshirt_salmon"}, // 0.82%</t>
  </si>
  <si>
    <t>{6168.39799468659, "U_C_Poloshirt_stripped"}, // 0.82%</t>
  </si>
  <si>
    <t>pgo7v</t>
  </si>
  <si>
    <t>{6250.00321742084, "U_C_Poloshirt_tricolour"}, // 0.82%</t>
  </si>
  <si>
    <t>rhs_acc_pgo7v</t>
  </si>
  <si>
    <t>{6331.6084401551, "U_Competitor"}, // 0.82%</t>
  </si>
  <si>
    <t>{6413.21366288935, "U_OrestesBody"}, // 0.82%</t>
  </si>
  <si>
    <t>{6494.81888562361, "U_Rangemaster"}, // 0.82%</t>
  </si>
  <si>
    <t>{6576.42410835786, "U_NikosBody"}, // 0.82%</t>
  </si>
  <si>
    <t>{6658.02933109212, "U_C_Poloshirt_blue"}, // 0.82%</t>
  </si>
  <si>
    <t>{6739.63455382637, "U_C_Scientist"}, // 0.82%</t>
  </si>
  <si>
    <t>{6821.23977656063, "U_C_Journalist"}, // 0.82%</t>
  </si>
  <si>
    <t>{6902.84499929488, "U_NikosAgedBody"}, // 0.82%</t>
  </si>
  <si>
    <t>{6980.48475084768, "Exile_Item_PlasticBottleFreshWater"}, // 0.78%</t>
  </si>
  <si>
    <t>{7058.12450240047, "Exile_Item_Beer"}, // 0.78%</t>
  </si>
  <si>
    <t>compm4</t>
  </si>
  <si>
    <t>rhsusf_acc_compm4</t>
  </si>
  <si>
    <t>{7135.76425395327, "Exile_Item_EnergyDrink"}, // 0.78%</t>
  </si>
  <si>
    <t>{7205.79226515775, "Exile_Item_Dogfood"}, // 0.70%</t>
  </si>
  <si>
    <t>{7275.82027636223, "Exile_Item_BeefParts"}, // 0.70%</t>
  </si>
  <si>
    <t>{7345.84828756672, "Exile_Item_Cheathas"}, // 0.70%</t>
  </si>
  <si>
    <t>{7405.37209709052, "Binocular"}, // 0.60%</t>
  </si>
  <si>
    <t>{7464.89590661433, "ItemGPS"}, // 0.60%</t>
  </si>
  <si>
    <t>{7524.41971613814, "Exile_Item_ZipTie"}, // 0.60%</t>
  </si>
  <si>
    <t>{7582.77639214188, "Exile_Item_ChristmasTinner"}, // 0.58%</t>
  </si>
  <si>
    <t>{7641.13306814561, "Exile_Item_Catfood"}, // 0.58%</t>
  </si>
  <si>
    <t>eotech_552</t>
  </si>
  <si>
    <t>{7699.48974414935, "Exile_Item_Matches"}, // 0.58%</t>
  </si>
  <si>
    <t>rhsusf_acc_eotech_552</t>
  </si>
  <si>
    <t>{7757.84642015308, "Exile_Item_BBQSandwich"}, // 0.58%</t>
  </si>
  <si>
    <t>{7813.21740575663, "H_Bandanna_surfer"}, // 0.55%</t>
  </si>
  <si>
    <t>{7868.58839136017, "H_Bandanna_sgg"}, // 0.55%</t>
  </si>
  <si>
    <t>{7923.95937696371, "H_Bandanna_mcamo"}, // 0.55%</t>
  </si>
  <si>
    <t>{7979.33036256726, "H_Bandanna_khk_hs"}, // 0.55%</t>
  </si>
  <si>
    <t>{8034.7013481708, "H_Bandanna_khk"}, // 0.55%</t>
  </si>
  <si>
    <t>{8090.07233377434, "H_Bandanna_gry"}, // 0.55%</t>
  </si>
  <si>
    <t>{8145.44331937789, "H_Bandanna_cbr"}, // 0.55%</t>
  </si>
  <si>
    <t>LEUPOLDMK4</t>
  </si>
  <si>
    <t>rhsusf_acc_LEUPOLDMK4</t>
  </si>
  <si>
    <t>{8200.81430498143, "H_Bandanna_camo"}, // 0.55%</t>
  </si>
  <si>
    <t>{8253.61768439771, "U_C_Poor_shorts_1"}, // 0.53%</t>
  </si>
  <si>
    <t>{8306.421063814, "U_C_HunterBody_grn"}, // 0.53%</t>
  </si>
  <si>
    <t>{8359.22444323028, "U_C_Poor_2"}, // 0.53%</t>
  </si>
  <si>
    <t>{8412.02782264656, "U_C_Poor_1"}, // 0.53%</t>
  </si>
  <si>
    <t>{8463.78765701509, "Exile_Item_PowerDrink"}, // 0.52%</t>
  </si>
  <si>
    <t>{8515.54749138362, "Exile_Item_PlasticBottleCoffee"}, // 0.52%</t>
  </si>
  <si>
    <t>{8562.63911284233, "V_Rangemaster_belt"}, // 0.47%</t>
  </si>
  <si>
    <t>{8609.32445364532, "Exile_Item_SausageGravy"}, // 0.47%</t>
  </si>
  <si>
    <t>{8653.96731078817, "optic_Aco"}, // 0.45%</t>
  </si>
  <si>
    <t>{8698.61016793103, "optic_ACO_grn"}, // 0.45%</t>
  </si>
  <si>
    <t>LEUPOLDMK4_2</t>
  </si>
  <si>
    <t>{8733.62417353327, "Exile_Item_CookingPot"}, // 0.35%</t>
  </si>
  <si>
    <t>rhsusf_acc_LEUPOLDMK4_2</t>
  </si>
  <si>
    <t>{8768.63817913551, "Exile_Item_EMRE"}, // 0.35%</t>
  </si>
  <si>
    <t>{8803.65218473775, "Exile_Item_GloriousKnakworst"}, // 0.35%</t>
  </si>
  <si>
    <t>{8838.66619033999, "Exile_Item_Surstromming"}, // 0.35%</t>
  </si>
  <si>
    <t>{8873.68019594224, "Exile_Item_CanOpener"}, // 0.35%</t>
  </si>
  <si>
    <t>{8906.52091843813, "30Rnd_45ACP_Mag_SMG_01_Tracer_Red"}, // 0.33%</t>
  </si>
  <si>
    <t>{8939.36164093403, "30Rnd_45ACP_Mag_SMG_01_Tracer_Yellow"}, // 0.33%</t>
  </si>
  <si>
    <t>{8972.20236342992, "30Rnd_45ACP_Mag_SMG_01_Tracer_Green"}, // 0.33%</t>
  </si>
  <si>
    <t>{9001.96426819183, "Exile_Item_InstaDoc"}, // 0.30%</t>
  </si>
  <si>
    <t>{9029.6497609936, "H_Hat_grey"}, // 0.28%</t>
  </si>
  <si>
    <t>{9057.33525379537, "H_Hat_tan"}, // 0.28%</t>
  </si>
  <si>
    <t>{9085.02074659714, "H_StrawHat"}, // 0.28%</t>
  </si>
  <si>
    <t>{9112.70623939891, "H_StrawHat_dark"}, // 0.28%</t>
  </si>
  <si>
    <t>{9140.39173220068, "H_Shemag_olive_hs"}, // 0.28%</t>
  </si>
  <si>
    <t>{9168.07722500245, "H_Cap_blk"}, // 0.28%</t>
  </si>
  <si>
    <t>ELCAN</t>
  </si>
  <si>
    <t>{9195.76271780422, "H_Shemag_olive"}, // 0.28%</t>
  </si>
  <si>
    <t>rhsusf_acc_ELCAN</t>
  </si>
  <si>
    <t>{9223.448210606, "H_Shemag_tan"}, // 0.28%</t>
  </si>
  <si>
    <t>{9251.13370340777, "H_ShemagOpen_khk"}, // 0.28%</t>
  </si>
  <si>
    <t>{9278.81919620954, "H_Cap_red"}, // 0.28%</t>
  </si>
  <si>
    <t>{9306.50468901131, "H_Cap_press"}, // 0.28%</t>
  </si>
  <si>
    <t>{9334.19018181308, "H_Shemag_khk"}, // 0.28%</t>
  </si>
  <si>
    <t>{9361.87567461485, "H_Cap_blu"}, // 0.28%</t>
  </si>
  <si>
    <t>{9389.56116741662, "H_Cap_oli"}, // 0.28%</t>
  </si>
  <si>
    <t>{9417.24666021839, "H_Cap_khaki_specops_UK"}, // 0.28%</t>
  </si>
  <si>
    <t>{9444.93215302016, "H_Cap_tan"}, // 0.28%</t>
  </si>
  <si>
    <t>ACOG</t>
  </si>
  <si>
    <t>{9472.61764582193, "H_Cap_tan_specops_US"}, // 0.28%</t>
  </si>
  <si>
    <t>rhsusf_acc_ACOG</t>
  </si>
  <si>
    <t>{9500.30313862371, "H_Hat_blue"}, // 0.28%</t>
  </si>
  <si>
    <t>{9527.98863142548, "H_Cap_blk_Raven"}, // 0.28%</t>
  </si>
  <si>
    <t>{9555.67412422725, "H_Hat_brown"}, // 0.28%</t>
  </si>
  <si>
    <t>{9583.35961702902, "H_ShemagOpen_tan"}, // 0.28%</t>
  </si>
  <si>
    <t>{9611.04510983079, "H_TurbanO_blk"}, // 0.28%</t>
  </si>
  <si>
    <t>{9638.73060263256, "H_Hat_camo"}, // 0.28%</t>
  </si>
  <si>
    <t>{9666.41609543433, "H_Cap_brn_SPECOPS"}, // 0.28%</t>
  </si>
  <si>
    <t>{9694.1015882361, "H_Cap_grn"}, // 0.28%</t>
  </si>
  <si>
    <t>{9721.78708103787, "H_Cap_headphones"}, // 0.28%</t>
  </si>
  <si>
    <t>ACOG2</t>
  </si>
  <si>
    <t>{9749.47257383964, "H_Hat_checker"}, // 0.28%</t>
  </si>
  <si>
    <t>rhsusf_acc_ACOG2</t>
  </si>
  <si>
    <t>{9773.96021699817, "V_BandollierB_blk"}, // 0.24%</t>
  </si>
  <si>
    <t>{9798.4478601567, "V_BandollierB_cbr"}, // 0.24%</t>
  </si>
  <si>
    <t>{9822.93550331523, "V_BandollierB_khk"}, // 0.24%</t>
  </si>
  <si>
    <t>{9847.42314647376, "V_BandollierB_oli"}, // 0.24%</t>
  </si>
  <si>
    <t>{9871.91078963229, "V_BandollierB_rgr"}, // 0.24%</t>
  </si>
  <si>
    <t>ACOG3</t>
  </si>
  <si>
    <t>{9886.98010849908, "V_HarnessOGL_brn"}, // 0.15%</t>
  </si>
  <si>
    <t>rhsusf_acc_ACOG3</t>
  </si>
  <si>
    <t>{9902.04942736586, "V_HarnessOGL_gry"}, // 0.15%</t>
  </si>
  <si>
    <t>{9915.2350813743, "V_Chestrig_blk"}, // 0.13%</t>
  </si>
  <si>
    <t>{9928.42073538274, "V_Chestrig_khk"}, // 0.13%</t>
  </si>
  <si>
    <t>{9941.60638939118, "V_Chestrig_oli"}, // 0.13%</t>
  </si>
  <si>
    <t>{9954.79204339962, "V_Chestrig_rgr"}, // 0.13%</t>
  </si>
  <si>
    <t>POINTER_ATTACHMENTS</t>
  </si>
  <si>
    <t>{9966.09403254971, "V_HarnessOSpec_gry"}, // 0.11%</t>
  </si>
  <si>
    <t>{9977.3960216998, "V_HarnessOSpec_brn"}, // 0.11%</t>
  </si>
  <si>
    <t>{9988.69801084989, "V_HarnessO_brn"}, // 0.11%</t>
  </si>
  <si>
    <t>{9999.99999999998, "V_HarnessO_gry"} // 0.11%</t>
  </si>
  <si>
    <t>Flashlight</t>
  </si>
  <si>
    <t>acc_flashlight</t>
  </si>
  <si>
    <t>IR Laser Pointer</t>
  </si>
  <si>
    <t>acc_pointer_IR</t>
  </si>
  <si>
    <t xml:space="preserve">  Exile_Item_Cheathas</t>
  </si>
  <si>
    <t xml:space="preserve">  H_Bandanna_surfer</t>
  </si>
  <si>
    <t xml:space="preserve">  H_Cap_blu</t>
  </si>
  <si>
    <t xml:space="preserve">  H_Hat_blue</t>
  </si>
  <si>
    <t>AN/PEQ-15 A Desert</t>
  </si>
  <si>
    <t xml:space="preserve">  H_Bandanna_mcamo</t>
  </si>
  <si>
    <t>rhsusf_acc_anpeq15</t>
  </si>
  <si>
    <t xml:space="preserve">  Exile_Item_PowerDrink</t>
  </si>
  <si>
    <t>AN/PEQ-15 A Black</t>
  </si>
  <si>
    <t>rhsusf_acc_anpeq15A</t>
  </si>
  <si>
    <t xml:space="preserve">  H_Cap_headphones</t>
  </si>
  <si>
    <t>AN/PEQ-15 A Desert With Light</t>
  </si>
  <si>
    <t>rhsusf_acc_anpeq15_light</t>
  </si>
  <si>
    <t xml:space="preserve">  H_Cap_blk_Raven</t>
  </si>
  <si>
    <t xml:space="preserve">  U_NikosAgedBody</t>
  </si>
  <si>
    <t>BIPOD_ATTACHMENTS</t>
  </si>
  <si>
    <t>Bipod (Black) [NATO]</t>
  </si>
  <si>
    <t>Bipod (MTP) [NATO]</t>
  </si>
  <si>
    <t xml:space="preserve">  Exile_Item_Catfood</t>
  </si>
  <si>
    <t xml:space="preserve">  H_Hat_checker</t>
  </si>
  <si>
    <t>Bipod (Sand) [NATO]</t>
  </si>
  <si>
    <t xml:space="preserve">  U_Rangemaster</t>
  </si>
  <si>
    <t xml:space="preserve">  H_Cap_brn_SPECOPS</t>
  </si>
  <si>
    <t>Bipod (Black) [CSAT]</t>
  </si>
  <si>
    <t>Bipod (Hex) [CSAT]</t>
  </si>
  <si>
    <t>Bipod (Tan) [CSAT]</t>
  </si>
  <si>
    <t xml:space="preserve">  Exile_Item_Surstromming</t>
  </si>
  <si>
    <t xml:space="preserve">  Exile_Item_CanOpener</t>
  </si>
  <si>
    <t>Bipod (Black) [AAF]</t>
  </si>
  <si>
    <t xml:space="preserve">  Exile_Item_InstaDoc</t>
  </si>
  <si>
    <t>class Shop</t>
  </si>
  <si>
    <t>count = 90;</t>
  </si>
  <si>
    <t>half = 7719.79912580725;</t>
  </si>
  <si>
    <t>halfIndex = 45;</t>
  </si>
  <si>
    <t>{579.710144927536, "Exile_Item_PlasticBottleEmpty"}, // 5.80%</t>
  </si>
  <si>
    <t>{1159.42028985507, "Exile_Item_Can_Empty"}, // 5.80%</t>
  </si>
  <si>
    <t>Bipod (Olive) [AAF]</t>
  </si>
  <si>
    <t>{1739.13043478261, "Exile_Item_ToiletPaper"}, // 5.80%</t>
  </si>
  <si>
    <t>{2260.86956521739, "Exile_Item_Bandage"}, // 5.22%</t>
  </si>
  <si>
    <t>{2521.73913043478, "Exile_Item_Vishpirin"}, // 2.61%</t>
  </si>
  <si>
    <t>{2748.58223062382, "Exile_Item_PlasticBottleDirtyWater"}, // 2.27%</t>
  </si>
  <si>
    <t>{2965.97353497164, "B_HuntingBackpack"}, // 2.17%</t>
  </si>
  <si>
    <t>{3183.36483931947, "B_OutdoorPack_blk"}, // 2.17%</t>
  </si>
  <si>
    <t>{3400.7561436673, "B_OutdoorPack_blu"}, // 2.17%</t>
  </si>
  <si>
    <t>Harris Bipod for RHS weapons</t>
  </si>
  <si>
    <t>rhsusf_acc_harris_bipod</t>
  </si>
  <si>
    <t>{3618.14744801512, "B_OutdoorPack_tan"}, // 2.17%</t>
  </si>
  <si>
    <t>{3788.65043181734, "Exile_Item_InstantCoffee"}, // 1.71%</t>
  </si>
  <si>
    <t>{3959.15341561956, "Exile_Item_Moobar"}, // 1.71%</t>
  </si>
  <si>
    <t>{4129.65639942177, "Exile_Item_Raisins"}, // 1.71%</t>
  </si>
  <si>
    <t>{4280.88513288113, "Exile_Item_MountainDupe"}, // 1.51%</t>
  </si>
  <si>
    <t>{4417.2875199229, "Exile_Item_SeedAstics"}, // 1.36%</t>
  </si>
  <si>
    <t>MUZZLE_ATTACHMENTS</t>
  </si>
  <si>
    <t>{4547.7223025316, "ItemRadio"}, // 1.30%</t>
  </si>
  <si>
    <t>{4678.15708514029, "ItemWatch"}, // 1.30%</t>
  </si>
  <si>
    <t>{4797.50917380185, "Exile_Item_Noodles"}, // 1.19%</t>
  </si>
  <si>
    <t>{4916.72376005711, "U_C_Poloshirt_burgundy"}, // 1.19%</t>
  </si>
  <si>
    <t>{5035.93834631237, "U_C_Poloshirt_salmon"}, // 1.19%</t>
  </si>
  <si>
    <t>{5155.15293256763, "U_C_Poloshirt_stripped"}, // 1.19%</t>
  </si>
  <si>
    <t>{5274.36751882289, "U_OrestesBody"}, // 1.19%</t>
  </si>
  <si>
    <t>{5393.58210507815, "U_C_Scientist"}, // 1.19%</t>
  </si>
  <si>
    <t>{5512.7966913334, "U_NikosAgedBody"}, // 1.19%</t>
  </si>
  <si>
    <t>{5632.01127758866, "U_NikosBody"}, // 1.19%</t>
  </si>
  <si>
    <t>{5751.22586384392, "U_Competitor"}, // 1.19%</t>
  </si>
  <si>
    <t>{5870.44045009918, "U_C_Poloshirt_blue"}, // 1.19%</t>
  </si>
  <si>
    <t>{5989.65503635444, "U_Rangemaster"}, // 1.19%</t>
  </si>
  <si>
    <t>{6108.8696226097, "U_C_Journalist"}, // 1.19%</t>
  </si>
  <si>
    <t>{6228.08420886496, "U_C_Poloshirt_tricolour"}, // 1.19%</t>
  </si>
  <si>
    <t>Sound Suppressor (.338, Black)</t>
  </si>
  <si>
    <t>{6341.50575895948, "Exile_Item_PlasticBottleFreshWater"}, // 1.13%</t>
  </si>
  <si>
    <t>muzzle_snds_338_black</t>
  </si>
  <si>
    <t>{6454.927309054, "Exile_Item_Beer"}, // 1.13%</t>
  </si>
  <si>
    <t>{6568.34885914852, "Exile_Item_EnergyDrink"}, // 1.13%</t>
  </si>
  <si>
    <t>{6670.65064942985, "Exile_Item_Dogfood"}, // 1.02%</t>
  </si>
  <si>
    <t>{6772.95243971118, "Exile_Item_Cheathas"}, // 1.02%</t>
  </si>
  <si>
    <t>{6875.25422999251, "Exile_Item_BeefParts"}, // 1.02%</t>
  </si>
  <si>
    <t>{6962.21075173164, "Exile_Item_InstaDoc"}, // 0.87%</t>
  </si>
  <si>
    <t>{7049.16727347077, "Binocular"}, // 0.87%</t>
  </si>
  <si>
    <t>{7136.1237952099, "ItemGPS"}, // 0.87%</t>
  </si>
  <si>
    <t>{7221.37528711101, "Exile_Item_Matches"}, // 0.85%</t>
  </si>
  <si>
    <t>{7306.62677901211, "Exile_Item_ChristmasTinner"}, // 0.85%</t>
  </si>
  <si>
    <t>{7391.87827091322, "Exile_Item_Catfood"}, // 0.85%</t>
  </si>
  <si>
    <t>{7477.12976281433, "Exile_Item_BBQSandwich"}, // 0.85%</t>
  </si>
  <si>
    <t>{7558.01955047864, "H_Bandanna_mcamo"}, // 0.81%</t>
  </si>
  <si>
    <t>{7638.90933814295, "H_Bandanna_gry"}, // 0.81%</t>
  </si>
  <si>
    <t>{7719.79912580725, "H_Bandanna_cbr"}, // 0.81%</t>
  </si>
  <si>
    <t>{7800.68891347156, "H_Bandanna_camo"}, // 0.81%</t>
  </si>
  <si>
    <t>{7881.57870113587, "H_Bandanna_khk"}, // 0.81%</t>
  </si>
  <si>
    <t>Sound Suppressor (.338, Green)</t>
  </si>
  <si>
    <t>{7962.46848880018, "H_Bandanna_khk_hs"}, // 0.81%</t>
  </si>
  <si>
    <t>muzzle_snds_338_green</t>
  </si>
  <si>
    <t>{8043.35827646449, "H_Bandanna_sgg"}, // 0.81%</t>
  </si>
  <si>
    <t>{8124.24806412879, "H_Bandanna_surfer"}, // 0.81%</t>
  </si>
  <si>
    <t>{8201.38691405867, "U_C_Poor_shorts_1"}, // 0.77%</t>
  </si>
  <si>
    <t>{8278.52576398854, "U_C_Poor_2"}, // 0.77%</t>
  </si>
  <si>
    <t>{8355.66461391841, "U_C_HunterBody_grn"}, // 0.77%</t>
  </si>
  <si>
    <t>{8432.80346384829, "U_C_Poor_1"}, // 0.77%</t>
  </si>
  <si>
    <t>{8508.41783057797, "Exile_Item_PlasticBottleCoffee"}, // 0.76%</t>
  </si>
  <si>
    <t>Sound Suppressor (.338, Sand)</t>
  </si>
  <si>
    <t>{8584.03219730764, "Exile_Item_PowerDrink"}, // 0.76%</t>
  </si>
  <si>
    <t>muzzle_snds_338_sand</t>
  </si>
  <si>
    <t>{8652.23339082853, "Exile_Item_SausageGravy"}, // 0.68%</t>
  </si>
  <si>
    <t>{8703.3842859692, "Exile_Item_Surstromming"}, // 0.51%</t>
  </si>
  <si>
    <t>{8754.53518110986, "Exile_Item_EMRE"}, // 0.51%</t>
  </si>
  <si>
    <t>{8805.68607625053, "Exile_Item_CanOpener"}, // 0.51%</t>
  </si>
  <si>
    <t>{8856.83697139119, "Exile_Item_GloriousKnakworst"}, // 0.51%</t>
  </si>
  <si>
    <t>{8907.98786653186, "Exile_Item_CookingPot"}, // 0.51%</t>
  </si>
  <si>
    <t>{8948.43276036401, "H_Cap_red"}, // 0.40%</t>
  </si>
  <si>
    <t>Sound Suppressor (9.3mm, Black)</t>
  </si>
  <si>
    <t>{8988.87765419616, "H_Cap_blk"}, // 0.40%</t>
  </si>
  <si>
    <t>muzzle_snds_93mmg</t>
  </si>
  <si>
    <t>{9029.32254802831, "H_Cap_press"}, // 0.40%</t>
  </si>
  <si>
    <t>{9069.76744186047, "H_Cap_oli"}, // 0.40%</t>
  </si>
  <si>
    <t>{9110.21233569262, "H_Cap_khaki_specops_UK"}, // 0.40%</t>
  </si>
  <si>
    <t>{9150.65722952477, "H_Cap_headphones"}, // 0.40%</t>
  </si>
  <si>
    <t>{9191.10212335693, "H_Cap_grn"}, // 0.40%</t>
  </si>
  <si>
    <t>{9231.54701718908, "H_StrawHat"}, // 0.40%</t>
  </si>
  <si>
    <t>{9271.99191102123, "H_Cap_tan_specops_US"}, // 0.40%</t>
  </si>
  <si>
    <t>{9312.43680485339, "H_StrawHat_dark"}, // 0.40%</t>
  </si>
  <si>
    <t>Sound Suppressor (9.3mm, Tan)</t>
  </si>
  <si>
    <t>{9352.88169868554, "H_Shemag_khk"}, // 0.40%</t>
  </si>
  <si>
    <t>muzzle_snds_93mmg_tan</t>
  </si>
  <si>
    <t>{9393.32659251769, "H_Shemag_olive"}, // 0.40%</t>
  </si>
  <si>
    <t>{9433.77148634984, "H_Shemag_olive_hs"}, // 0.40%</t>
  </si>
  <si>
    <t>{9474.216380182, "H_Shemag_tan"}, // 0.40%</t>
  </si>
  <si>
    <t>{9514.66127401415, "H_ShemagOpen_khk"}, // 0.40%</t>
  </si>
  <si>
    <t>{9555.1061678463, "H_ShemagOpen_tan"}, // 0.40%</t>
  </si>
  <si>
    <t>{9595.55106167846, "H_Cap_tan"}, // 0.40%</t>
  </si>
  <si>
    <t>{9635.99595551061, "H_TurbanO_blk"}, // 0.40%</t>
  </si>
  <si>
    <t>{9676.44084934276, "H_Hat_checker"}, // 0.40%</t>
  </si>
  <si>
    <t>Sound Suppressor (.45 ACP)</t>
  </si>
  <si>
    <t>{9716.88574317491, "H_Hat_camo"}, // 0.40%</t>
  </si>
  <si>
    <t>muzzle_snds_acp</t>
  </si>
  <si>
    <t>{9757.33063700707, "H_Hat_brown"}, // 0.40%</t>
  </si>
  <si>
    <t>{9797.77553083922, "H_Hat_blue"}, // 0.40%</t>
  </si>
  <si>
    <t>{9838.22042467137, "H_Cap_blk_Raven"}, // 0.40%</t>
  </si>
  <si>
    <t>{9878.66531850353, "H_Cap_blu"}, // 0.40%</t>
  </si>
  <si>
    <t>{9919.11021233568, "H_Hat_tan"}, // 0.40%</t>
  </si>
  <si>
    <t>{9959.55510616783, "H_Hat_grey"}, // 0.40%</t>
  </si>
  <si>
    <t>{9999.99999999999, "H_Cap_brn_SPECOPS"} // 0.40%</t>
  </si>
  <si>
    <t>Sound Suppressor (7.62 mm)</t>
  </si>
  <si>
    <t>muzzle_snds_B</t>
  </si>
  <si>
    <t xml:space="preserve">  Exile_Item_MetalBoard</t>
  </si>
  <si>
    <t xml:space="preserve">  Exile_Melee_Axe</t>
  </si>
  <si>
    <t xml:space="preserve">  Exile_Item_FuelCanisterEmpty</t>
  </si>
  <si>
    <t>Sound Suppressor (6.5 mm)</t>
  </si>
  <si>
    <t>muzzle_snds_H</t>
  </si>
  <si>
    <t xml:space="preserve">  Exile_Item_LightBulb</t>
  </si>
  <si>
    <t xml:space="preserve">  Exile_Item_MetalPole</t>
  </si>
  <si>
    <t xml:space="preserve">  Exile_Item_Rope</t>
  </si>
  <si>
    <t>Sound Suppressor LMG (6.5 mm)</t>
  </si>
  <si>
    <t xml:space="preserve">  Exile_Item_ExtensionCord</t>
  </si>
  <si>
    <t>muzzle_snds_H_MG</t>
  </si>
  <si>
    <t xml:space="preserve">  Exile_Item_DuctTape</t>
  </si>
  <si>
    <t xml:space="preserve">  Exile_Item_FuelCanisterFull</t>
  </si>
  <si>
    <t xml:space="preserve">  Exile_Item_JunkMetal</t>
  </si>
  <si>
    <t xml:space="preserve">  Exile_Item_PortableGeneratorKit</t>
  </si>
  <si>
    <t xml:space="preserve">  Exile_Item_FloodLightKit</t>
  </si>
  <si>
    <t>muzzle_snds_H_SW</t>
  </si>
  <si>
    <t>Sound Suppressor (9 mm)</t>
  </si>
  <si>
    <t>muzzle_snds_L</t>
  </si>
  <si>
    <t xml:space="preserve">  Exile_Item_Grinder</t>
  </si>
  <si>
    <t>Sound Suppressor (5.56 mm)</t>
  </si>
  <si>
    <t>muzzle_snds_M</t>
  </si>
  <si>
    <t>Broken</t>
  </si>
  <si>
    <t>5.45 Silencer</t>
  </si>
  <si>
    <t>rhs_acc_tpga</t>
  </si>
  <si>
    <t xml:space="preserve">  Exile_Item_CamoTentKit</t>
  </si>
  <si>
    <t xml:space="preserve">  Exile_Item_ThermalScannerPro</t>
  </si>
  <si>
    <t xml:space="preserve">  Exile_Item_Pliers</t>
  </si>
  <si>
    <t>7.62x39 Silencer</t>
  </si>
  <si>
    <t>rhs_acc_pbs1</t>
  </si>
  <si>
    <t>7.62x54 Silencer (SVD)</t>
  </si>
  <si>
    <t>rhs_acc_tgpv</t>
  </si>
  <si>
    <t xml:space="preserve">  Exile_Item_Handsaw</t>
  </si>
  <si>
    <t>5.45 Flash Reducer</t>
  </si>
  <si>
    <t>class Industrial</t>
  </si>
  <si>
    <t>rhs_acc_dtk</t>
  </si>
  <si>
    <t>count = 22;</t>
  </si>
  <si>
    <t>half = 8192.68292682927;</t>
  </si>
  <si>
    <t>halfIndex = 11;</t>
  </si>
  <si>
    <t>sum = 10000;</t>
  </si>
  <si>
    <t>{1300, "Exile_Item_PlasticBottleEmpty"}, // 13.00%</t>
  </si>
  <si>
    <t>rhs_acc_dtk1</t>
  </si>
  <si>
    <t>{2600, "Exile_Item_Can_Empty"}, // 13.00%</t>
  </si>
  <si>
    <t>{3900, "Exile_Item_ToiletPaper"}, // 13.00%</t>
  </si>
  <si>
    <t>{4631.70731707317, "Exile_Item_DuctTape"}, // 7.32%</t>
  </si>
  <si>
    <t>7.62x39 Flash Reducer (AKM)</t>
  </si>
  <si>
    <t>rhs_acc_dtk1l</t>
  </si>
  <si>
    <t>{5363.41463414634, "Exile_Melee_Axe"}, // 7.32%</t>
  </si>
  <si>
    <t>{5851.21951219512, "Exile_Item_FuelCanisterEmpty"}, // 4.88%</t>
  </si>
  <si>
    <t>{6339.0243902439, "Exile_Item_JunkMetal"}, // 4.88%</t>
  </si>
  <si>
    <t>{6826.82926829268, "Exile_Item_LightBulb"}, // 4.88%</t>
  </si>
  <si>
    <t>rhs_acc_dtk3</t>
  </si>
  <si>
    <t>{7314.63414634146, "Exile_Item_FuelCanisterFull"}, // 4.88%</t>
  </si>
  <si>
    <t>{7607.31707317073, "Exile_Item_ExtensionCord"}, // 2.93%</t>
  </si>
  <si>
    <t>{7900, "Exile_Item_MetalBoard"}, // 2.93%</t>
  </si>
  <si>
    <t>{8192.68292682927, "Exile_Item_MetalPole"}, // 2.93%</t>
  </si>
  <si>
    <t>rhs_acc_dtk4short</t>
  </si>
  <si>
    <t>{8436.58536585366, "Exile_Item_Grinder"}, // 2.44%</t>
  </si>
  <si>
    <t>{8680.48780487805, "Exile_Item_PortableGeneratorKit"}, // 2.44%</t>
  </si>
  <si>
    <t>{8924.39024390244, "Exile_Item_Handsaw"}, // 2.44%</t>
  </si>
  <si>
    <t>{9168.29268292683, "Exile_Item_FloodLightKit"}, // 2.44%</t>
  </si>
  <si>
    <t>{9412.19512195122, "Exile_Item_CamoTentKit"}, // 2.44%</t>
  </si>
  <si>
    <t>{9656.09756097561, "Exile_Item_Pliers"}, // 2.44%</t>
  </si>
  <si>
    <t>{9900, "Exile_Item_Rope"}, // 2.44%</t>
  </si>
  <si>
    <t>{9965, "Exile_Item_BaseCameraKit"}, // 0.65%</t>
  </si>
  <si>
    <t>{9990, "Exile_Item_Laptop"}, // 0.25%</t>
  </si>
  <si>
    <t>rhs_acc_dtk4long</t>
  </si>
  <si>
    <t>{10000, "Exile_Item_ThermalScannerPro"} // 0.10%</t>
  </si>
  <si>
    <t>rhs_acc_dtk4screws</t>
  </si>
  <si>
    <t>5.45 &amp; 7.62x39 Flash Hider</t>
  </si>
  <si>
    <t>rhs_acc_ak5</t>
  </si>
  <si>
    <t xml:space="preserve">  Exile_Item_BaseCameraKit</t>
  </si>
  <si>
    <t>M2010 Silencer</t>
  </si>
  <si>
    <t>rhsusf_acc_M2010S</t>
  </si>
  <si>
    <t>SR25 Silencer</t>
  </si>
  <si>
    <t>rhsusf_acc_SR25S</t>
  </si>
  <si>
    <t>5.56 Silencer Gray</t>
  </si>
  <si>
    <t>rhsusf_acc_rotex5_grey</t>
  </si>
  <si>
    <t>5.56 Silencer Tan</t>
  </si>
  <si>
    <t>rhsusf_acc_rotex5_tan</t>
  </si>
  <si>
    <t>5.56 Silencer Black</t>
  </si>
  <si>
    <t>rhsusf_acc_nt4_black</t>
  </si>
  <si>
    <t>rhsusf_acc_nt4_tan</t>
  </si>
  <si>
    <t xml:space="preserve">  IEDLandBig_Remote_Mag</t>
  </si>
  <si>
    <t>5.56 Flash Reducer</t>
  </si>
  <si>
    <t>rhsusf_acc_SF3P556</t>
  </si>
  <si>
    <t>rhsusf_acc_SFMB556</t>
  </si>
  <si>
    <t>AMMUNITION</t>
  </si>
  <si>
    <t>6Rnd Signal Cylinder (Green)</t>
  </si>
  <si>
    <t>6Rnd_GreenSignal_F</t>
  </si>
  <si>
    <t>6Rnd Signal Cylinder (Red)</t>
  </si>
  <si>
    <t>6Rnd_RedSignal_F</t>
  </si>
  <si>
    <t>class VehicleService</t>
  </si>
  <si>
    <t>count = 33;</t>
  </si>
  <si>
    <t>half = 9312.19512195122;</t>
  </si>
  <si>
    <t>.45 ACP 6Rnd Cylinder</t>
  </si>
  <si>
    <t>halfIndex = 16;</t>
  </si>
  <si>
    <t>6Rnd_45ACP_Cylinder</t>
  </si>
  <si>
    <t>{1266.66666666667, "Exile_Item_Can_Empty"}, // 12.67%</t>
  </si>
  <si>
    <t>{2533.33333333333, "Exile_Item_PlasticBottleEmpty"}, // 12.67%</t>
  </si>
  <si>
    <t>{3800, "Exile_Item_ToiletPaper"}, // 12.67%</t>
  </si>
  <si>
    <t>.45 AP 9Rnd Mag</t>
  </si>
  <si>
    <t>{4531.70731707317, "Exile_Item_DuctTape"}, // 7.32%</t>
  </si>
  <si>
    <t>9Rnd_45ACP_Mag</t>
  </si>
  <si>
    <t>{5263.41463414634, "Exile_Melee_Axe"}, // 7.32%</t>
  </si>
  <si>
    <t>{5751.21951219512, "Exile_Item_FuelCanisterEmpty"}, // 4.88%</t>
  </si>
  <si>
    <t>{6239.0243902439, "Exile_Item_JunkMetal"}, // 4.88%</t>
  </si>
  <si>
    <t>{6726.82926829268, "Exile_Item_LightBulb"}, // 4.88%</t>
  </si>
  <si>
    <t>{7214.63414634146, "Exile_Item_FuelCanisterFull"}, // 4.88%</t>
  </si>
  <si>
    <t>{7507.31707317073, "Exile_Item_ExtensionCord"}, // 2.93%</t>
  </si>
  <si>
    <t>{7800, "Exile_Item_MetalBoard"}, // 2.93%</t>
  </si>
  <si>
    <t>.45 ACP 11Rnd Mag</t>
  </si>
  <si>
    <t>{8092.68292682927, "Exile_Item_MetalPole"}, // 2.93%</t>
  </si>
  <si>
    <t>11Rnd_45ACP_Mag</t>
  </si>
  <si>
    <t>{8336.58536585366, "Exile_Item_Grinder"}, // 2.44%</t>
  </si>
  <si>
    <t>{8580.48780487805, "Exile_Item_Rope"}, // 2.44%</t>
  </si>
  <si>
    <t>{8824.39024390244, "Exile_Item_Handsaw"}, // 2.44%</t>
  </si>
  <si>
    <t>9mm 16Rnd Mag</t>
  </si>
  <si>
    <t>16Rnd_9x21_Mag</t>
  </si>
  <si>
    <t>{9068.29268292683, "Exile_Item_FloodLightKit"}, // 2.44%</t>
  </si>
  <si>
    <t>{9312.19512195122, "Exile_Item_PortableGeneratorKit"}, // 2.44%</t>
  </si>
  <si>
    <t>{9556.09756097561, "Exile_Item_CamoTentKit"}, // 2.44%</t>
  </si>
  <si>
    <t>{9800, "Exile_Item_Pliers"}, // 2.44%</t>
  </si>
  <si>
    <t>{9865, "Exile_Item_BaseCameraKit"}, // 0.65%</t>
  </si>
  <si>
    <t>5.56 mm 20Rnd Dual Purpose</t>
  </si>
  <si>
    <t>20Rnd_556x45_UW_mag</t>
  </si>
  <si>
    <t>{9890, "Exile_Item_Laptop"}, // 0.25%</t>
  </si>
  <si>
    <t>{9901.90476190476, "DemoCharge_Remote_Mag"}, // 0.12%</t>
  </si>
  <si>
    <t>{9913.80952380952, "ClaymoreDirectionalMine_Remote_Mag"}, // 0.12%</t>
  </si>
  <si>
    <t>{9925.71428571429, "APERSTripMine_Wire_Mag"}, // 0.12%</t>
  </si>
  <si>
    <t>9 mm 20Rnd Mag</t>
  </si>
  <si>
    <t>30Rnd_9x21_Mag</t>
  </si>
  <si>
    <t>{9937.61904761905, "APERSMine_Range_Mag"}, // 0.12%</t>
  </si>
  <si>
    <t>{9949.52380952381, "APERSBoundingMine_Range_Mag"}, // 0.12%</t>
  </si>
  <si>
    <t>{9961.42857142857, "SLAMDirectionalMine_Wire_Mag"}, // 0.12%</t>
  </si>
  <si>
    <t>.45 ACP 30Rnd Vermin Mag</t>
  </si>
  <si>
    <t>{9971.42857142857, "Exile_Item_ThermalScannerPro"}, // 0.10%</t>
  </si>
  <si>
    <t>30Rnd_45ACP_Mag_SMG_01</t>
  </si>
  <si>
    <t>{9978.57142857143, "IEDLandSmall_Remote_Mag"}, // 0.07%</t>
  </si>
  <si>
    <t>{9985.71428571428, "IEDUrbanSmall_Remote_Mag"}, // 0.07%</t>
  </si>
  <si>
    <t>{9990.47619047619, "SatchelCharge_Remote_Mag"}, // 0.05%</t>
  </si>
  <si>
    <t>5.56 mm 30rnd STANAG</t>
  </si>
  <si>
    <t>{9995.23809523809, "IEDLandBig_Remote_Mag"}, // 0.05%</t>
  </si>
  <si>
    <t>30Rnd_556x45_Stanag</t>
  </si>
  <si>
    <t>{10000, "IEDUrbanBig_Remote_Mag"} // 0.05%</t>
  </si>
  <si>
    <t xml:space="preserve">  muzzle_snds_M</t>
  </si>
  <si>
    <t xml:space="preserve">  HandGrenade</t>
  </si>
  <si>
    <t xml:space="preserve">  30Rnd_556x45_Stanag_Tracer_Yellow</t>
  </si>
  <si>
    <t xml:space="preserve">  FlareGreen_F</t>
  </si>
  <si>
    <t xml:space="preserve">  Chemlight_red</t>
  </si>
  <si>
    <t xml:space="preserve">  30Rnd_556x45_Stanag_red</t>
  </si>
  <si>
    <t xml:space="preserve">  bipod_01_F_mtp</t>
  </si>
  <si>
    <t>6.5mm 30Rnd Caseless Mag</t>
  </si>
  <si>
    <t>30Rnd_65x39_caseless_green</t>
  </si>
  <si>
    <t xml:space="preserve">  optic_DMS</t>
  </si>
  <si>
    <t xml:space="preserve">  U_B_CTRG_1</t>
  </si>
  <si>
    <t xml:space="preserve">  H_Watchcap_khk</t>
  </si>
  <si>
    <t xml:space="preserve">  optic_Holosight</t>
  </si>
  <si>
    <t xml:space="preserve">  arifle_TRG20_F</t>
  </si>
  <si>
    <t>6.5 mm 30Rnd STANAG Mag</t>
  </si>
  <si>
    <t>30Rnd_65x39_caseless_mag</t>
  </si>
  <si>
    <t xml:space="preserve">  acc_pointer_IR</t>
  </si>
  <si>
    <t xml:space="preserve">  MiniGrenade</t>
  </si>
  <si>
    <t xml:space="preserve">  U_B_CombatUniform_mcam_worn</t>
  </si>
  <si>
    <t xml:space="preserve">  SmokeShellGreen</t>
  </si>
  <si>
    <t xml:space="preserve">  3Rnd_SmokeBlue_Grenade_shell</t>
  </si>
  <si>
    <t>.45 ACP 30Rnd Vermin Tracer (Green)</t>
  </si>
  <si>
    <t>30Rnd_45ACP_Mag_SMG_01_Tracer_Green</t>
  </si>
  <si>
    <t xml:space="preserve">  optic_Hamr</t>
  </si>
  <si>
    <t xml:space="preserve">  V_PlateCarrierL_CTRG</t>
  </si>
  <si>
    <t xml:space="preserve">  1Rnd_SmokeOrange_Grenade_shell</t>
  </si>
  <si>
    <t xml:space="preserve">  bipod_03_F_oli</t>
  </si>
  <si>
    <t xml:space="preserve">  H_HelmetB_light_sand</t>
  </si>
  <si>
    <t xml:space="preserve">  U_B_CombatUniform_mcam_tshirt</t>
  </si>
  <si>
    <t xml:space="preserve">  H_Beret_02</t>
  </si>
  <si>
    <t>.45 ACP 30Rnd Vermin Tracer (Yellow)</t>
  </si>
  <si>
    <t xml:space="preserve">  FlareYellow_F</t>
  </si>
  <si>
    <t xml:space="preserve">  bipod_02_F_tan</t>
  </si>
  <si>
    <t xml:space="preserve">  1Rnd_HE_Grenade_shell</t>
  </si>
  <si>
    <t xml:space="preserve">  muzzle_snds_H</t>
  </si>
  <si>
    <t>.45 ACP 30Rnd Vermin Tracer (Red)</t>
  </si>
  <si>
    <t xml:space="preserve">  arifle_Mk20_F</t>
  </si>
  <si>
    <t xml:space="preserve">  optic_Arco</t>
  </si>
  <si>
    <t xml:space="preserve">  SmokeShellOrange</t>
  </si>
  <si>
    <t xml:space="preserve">  U_I_HeliPilotCoveralls</t>
  </si>
  <si>
    <t xml:space="preserve">  3Rnd_SmokeRed_Grenade_shell</t>
  </si>
  <si>
    <t xml:space="preserve">  B_IR_Grenade</t>
  </si>
  <si>
    <t>5.56 mm 30rnd Tracer (Green)</t>
  </si>
  <si>
    <t xml:space="preserve">  30Rnd_556x45_Stanag_green</t>
  </si>
  <si>
    <t>30Rnd_556x45_Stanag_Tracer_Green</t>
  </si>
  <si>
    <t xml:space="preserve">  30Rnd_65x39_caseless_mag_Tracer</t>
  </si>
  <si>
    <t xml:space="preserve">  Chemlight_green</t>
  </si>
  <si>
    <t xml:space="preserve">  U_I_pilotCoveralls</t>
  </si>
  <si>
    <t xml:space="preserve">  30Rnd_556x45_Stanag</t>
  </si>
  <si>
    <t xml:space="preserve">  B_TacticalPack_mcamo</t>
  </si>
  <si>
    <t xml:space="preserve">  bipod_02_F_hex</t>
  </si>
  <si>
    <t xml:space="preserve">  H_MilCap_oucamo</t>
  </si>
  <si>
    <t xml:space="preserve">  arifle_Mk20_plain_F</t>
  </si>
  <si>
    <t>5.56 mm 30rnd Tracer (Red)</t>
  </si>
  <si>
    <t>30Rnd_556x45_Stanag_Tracer_Red</t>
  </si>
  <si>
    <t xml:space="preserve">  30Rnd_65x39_caseless_green_mag_Tracer</t>
  </si>
  <si>
    <t xml:space="preserve">  H_Booniehat_tan</t>
  </si>
  <si>
    <t>5.56 mm 30rnd Tracer (Yellow)</t>
  </si>
  <si>
    <t>30Rnd_556x45_Stanag_Tracer_Yellow</t>
  </si>
  <si>
    <t xml:space="preserve">  30Rnd_65x39_caseless_mag</t>
  </si>
  <si>
    <t xml:space="preserve">  B_AssaultPack_mcamo</t>
  </si>
  <si>
    <t xml:space="preserve">  H_HelmetB_light_desert</t>
  </si>
  <si>
    <t xml:space="preserve">  H_HelmetO_ocamo</t>
  </si>
  <si>
    <t>6.5mm 30Rnd Tracer (Green)</t>
  </si>
  <si>
    <t>30Rnd_65x39_caseless_green_mag_Tracer</t>
  </si>
  <si>
    <t xml:space="preserve">  B_AssaultPack_sgg</t>
  </si>
  <si>
    <t xml:space="preserve">  arifle_Katiba_C_F</t>
  </si>
  <si>
    <t xml:space="preserve">  U_B_HeliPilotCoveralls</t>
  </si>
  <si>
    <t xml:space="preserve">  arifle_MX_GL_F</t>
  </si>
  <si>
    <t>6.5 mm 30Rnd Tracer (Red)</t>
  </si>
  <si>
    <t>30Rnd_65x39_caseless_mag_Tracer</t>
  </si>
  <si>
    <t xml:space="preserve">  V_PlateCarrierGL_rgr</t>
  </si>
  <si>
    <t xml:space="preserve">  B_Bergen_rgr</t>
  </si>
  <si>
    <t>6.5 mm 100Rnd Mag</t>
  </si>
  <si>
    <t>100Rnd_65x39_caseless_mag</t>
  </si>
  <si>
    <t xml:space="preserve">  arifle_SDAR_F</t>
  </si>
  <si>
    <t xml:space="preserve">  Exile_Uniform_Woodland</t>
  </si>
  <si>
    <t xml:space="preserve">  acc_flashlight</t>
  </si>
  <si>
    <t>6.5 mm 100Rnd Tracer (Red)</t>
  </si>
  <si>
    <t>100Rnd_65x39_caseless_mag_Tracer</t>
  </si>
  <si>
    <t xml:space="preserve">  20Rnd_556x45_UW_mag</t>
  </si>
  <si>
    <t xml:space="preserve">  B_AssaultPack_khk</t>
  </si>
  <si>
    <t xml:space="preserve">  B_FieldPack_oucamo</t>
  </si>
  <si>
    <t>7.62mm 10Rnd Mag</t>
  </si>
  <si>
    <t>10Rnd_762x54_Mag</t>
  </si>
  <si>
    <t xml:space="preserve">  H_Booniehat_grn</t>
  </si>
  <si>
    <t xml:space="preserve">  arifle_MXC_Black_F</t>
  </si>
  <si>
    <t xml:space="preserve">  V_TacVest_brn</t>
  </si>
  <si>
    <t xml:space="preserve">  1Rnd_SmokeRed_Grenade_shell</t>
  </si>
  <si>
    <t xml:space="preserve">  arifle_Mk20_GL_plain_F</t>
  </si>
  <si>
    <t xml:space="preserve">  UGL_FlareRed_F</t>
  </si>
  <si>
    <t>class Military</t>
  </si>
  <si>
    <t>count = 243;</t>
  </si>
  <si>
    <t>.338 LM 10 Rnd Mag</t>
  </si>
  <si>
    <t>half = 7942.46989134505;</t>
  </si>
  <si>
    <t>10Rnd_338_Mag</t>
  </si>
  <si>
    <t>halfIndex = 121;</t>
  </si>
  <si>
    <t>{238.444607483492, "20Rnd_556x45_UW_mag"}, // 2.38%</t>
  </si>
  <si>
    <t>9.3mm 10Rnd Mag</t>
  </si>
  <si>
    <t>10Rnd_93x64_DMR_05_Mag</t>
  </si>
  <si>
    <t>{441.078852670929, "U_I_HeliPilotCoveralls"}, // 2.03%</t>
  </si>
  <si>
    <t>{643.713097858366, "U_B_HeliPilotCoveralls"}, // 2.03%</t>
  </si>
  <si>
    <t>{828.726973899069, "1Rnd_HE_Grenade_shell"}, // 1.85%</t>
  </si>
  <si>
    <t>{1013.74084993977, "HandGrenade"}, // 1.85%</t>
  </si>
  <si>
    <t>12.7mm 10Rnd Mag</t>
  </si>
  <si>
    <t>{1198.75472598047, "MiniGrenade"}, // 1.85%</t>
  </si>
  <si>
    <t>10Rnd_127x54_Mag</t>
  </si>
  <si>
    <t>{1382.17365481393, "30Rnd_65x39_caseless_green"}, // 1.83%</t>
  </si>
  <si>
    <t>{1565.59258364739, "30Rnd_65x39_caseless_mag"}, // 1.83%</t>
  </si>
  <si>
    <t>{1731.07721721713, "acc_flashlight"}, // 1.65%</t>
  </si>
  <si>
    <t>{1849.2805269098, "optic_Holosight"}, // 1.18%</t>
  </si>
  <si>
    <t>{1967.48383660247, "optic_Hamr"}, // 1.18%</t>
  </si>
  <si>
    <t>{2085.68714629514, "optic_Arco"}, // 1.18%</t>
  </si>
  <si>
    <t>.408 7Rnd LRR Mag</t>
  </si>
  <si>
    <t>7Rnd_408_Mag</t>
  </si>
  <si>
    <t>{2203.89045598781, "muzzle_snds_H"}, // 1.18%</t>
  </si>
  <si>
    <t>{2322.09376568048, "muzzle_snds_M"}, // 1.18%</t>
  </si>
  <si>
    <t>{2440.29707537316, "optic_MRCO"}, // 1.18%</t>
  </si>
  <si>
    <t>{2558.50038506583, "acc_pointer_IR"}, // 1.18%</t>
  </si>
  <si>
    <t>7.62 mm 20Rnd Mag</t>
  </si>
  <si>
    <t>{2668.37951801958, "arifle_TRG20_F"}, // 1.10%</t>
  </si>
  <si>
    <t>20Rnd_762x51_Mag</t>
  </si>
  <si>
    <t>{2769.6966406133, "U_O_PilotCoveralls"}, // 1.01%</t>
  </si>
  <si>
    <t>{2871.01376320701, "U_I_pilotCoveralls"}, // 1.01%</t>
  </si>
  <si>
    <t>{2972.33088580073, "U_B_PilotCoveralls"}, // 1.01%</t>
  </si>
  <si>
    <t>{3067.22650062443, "arifle_SDAR_F"}, // 0.95%</t>
  </si>
  <si>
    <t>{3158.93596504115, "30Rnd_65x39_caseless_green_mag_Tracer"}, // 0.92%</t>
  </si>
  <si>
    <t>{3250.64542945788, "30Rnd_65x39_caseless_mag_Tracer"}, // 0.92%</t>
  </si>
  <si>
    <t>12.7 mm 5Rnd Mag</t>
  </si>
  <si>
    <t>{3339.29791172739, "bipod_01_F_blk"}, // 0.89%</t>
  </si>
  <si>
    <t>5Rnd_127x108_Mag</t>
  </si>
  <si>
    <t>{3427.95039399689, "bipod_01_F_mtp"}, // 0.89%</t>
  </si>
  <si>
    <t>{3516.60287626639, "bipod_01_F_snd"}, // 0.89%</t>
  </si>
  <si>
    <t>{3605.2553585359, "NVGoggles_OPFOR"}, // 0.89%</t>
  </si>
  <si>
    <t>{3693.9078408054, "bipod_02_F_hex"}, // 0.89%</t>
  </si>
  <si>
    <t>12.7mm 5Rnd APDS Mag</t>
  </si>
  <si>
    <t>5Rnd_127x108_APDS_Mag</t>
  </si>
  <si>
    <t>{3782.5603230749, "bipod_02_F_tan"}, // 0.89%</t>
  </si>
  <si>
    <t>{3871.21280534441, "bipod_03_F_blk"}, // 0.89%</t>
  </si>
  <si>
    <t>{3959.86528761391, "NVGoggles_INDEP"}, // 0.89%</t>
  </si>
  <si>
    <t>{4048.51776988342, "bipod_03_F_oli"}, // 0.89%</t>
  </si>
  <si>
    <t>.338 NM 130Rnd Belt</t>
  </si>
  <si>
    <t>{4137.17025215292, "NVGoggles"}, // 0.89%</t>
  </si>
  <si>
    <t>130Rnd_338_Mag</t>
  </si>
  <si>
    <t>{4225.82273442242, "Rangefinder"}, // 0.89%</t>
  </si>
  <si>
    <t>{4314.47521669193, "bipod_02_F_blk"}, // 0.89%</t>
  </si>
  <si>
    <t>{4399.38181942892, "arifle_TRG21_F"}, // 0.85%</t>
  </si>
  <si>
    <t>{4471.75119271014, "FlareYellow_F"}, // 0.72%</t>
  </si>
  <si>
    <t>{4544.12056599137, "FlareWhite_F"}, // 0.72%</t>
  </si>
  <si>
    <t>7.62 mm 150Rnd Box</t>
  </si>
  <si>
    <t>150Rnd_762x54_Box</t>
  </si>
  <si>
    <t>{4616.4899392726, "FlareRed_F"}, // 0.72%</t>
  </si>
  <si>
    <t>{4688.85931255382, "FlareGreen_F"}, // 0.72%</t>
  </si>
  <si>
    <t>{4761.22868583505, "Chemlight_blue"}, // 0.72%</t>
  </si>
  <si>
    <t>{4833.59805911628, "Chemlight_green"}, // 0.72%</t>
  </si>
  <si>
    <t>9.3mm 150Rnd Belt</t>
  </si>
  <si>
    <t>{4905.96743239751, "Chemlight_red"}, // 0.72%</t>
  </si>
  <si>
    <t>150Rnd_93x64_Mag</t>
  </si>
  <si>
    <t>{4976.88941821311, "Exile_Item_ZipTie"}, // 0.71%</t>
  </si>
  <si>
    <t>{5041.36395077275, "SmokeShellYellow"}, // 0.64%</t>
  </si>
  <si>
    <t>{5105.83848333239, "SmokeShellRed"}, // 0.64%</t>
  </si>
  <si>
    <t>{5170.31301589202, "SmokeShellPurple"}, // 0.64%</t>
  </si>
  <si>
    <t>{5234.78754845166, "SmokeShellOrange"}, // 0.64%</t>
  </si>
  <si>
    <t>{5299.2620810113, "SmokeShellGreen"}, // 0.64%</t>
  </si>
  <si>
    <t>{5363.73661357094, "SmokeShellBlue"}, // 0.64%</t>
  </si>
  <si>
    <t>7.62 mm 150Rnd Box Tracer (Green)</t>
  </si>
  <si>
    <t>{5428.21114613058, "SmokeShell"}, // 0.64%</t>
  </si>
  <si>
    <t>150Rnd_762x54_Box_Tracer</t>
  </si>
  <si>
    <t>{5492.40777122229, "30Rnd_556x45_Stanag_green"}, // 0.64%</t>
  </si>
  <si>
    <t>{5556.604396314, "30Rnd_556x45_Stanag"}, // 0.64%</t>
  </si>
  <si>
    <t>{5620.80102140571, "30Rnd_556x45_Stanag_red"}, // 0.64%</t>
  </si>
  <si>
    <t>{5682.47231341928, "3Rnd_HE_Grenade_shell"}, // 0.62%</t>
  </si>
  <si>
    <t>{5741.57396826561, "optic_DMS"}, // 0.59%</t>
  </si>
  <si>
    <t>{5786.52452265578, "arifle_TRG21_GL_F"}, // 0.45%</t>
  </si>
  <si>
    <t>{5831.47507704595, "arifle_Katiba_GL_F"}, // 0.45%</t>
  </si>
  <si>
    <t>{5871.43112539277, "arifle_Katiba_F"}, // 0.40%</t>
  </si>
  <si>
    <t>{5911.38717373959, "arifle_Katiba_C_F"}, // 0.40%</t>
  </si>
  <si>
    <t>6.5 mm 200Rnd Belt</t>
  </si>
  <si>
    <t>{5950.23137091775, "B_AssaultPack_blk"}, // 0.39%</t>
  </si>
  <si>
    <t>200Rnd_65x39_cased_Box</t>
  </si>
  <si>
    <t>{5989.0755680959, "B_AssaultPack_cbr"}, // 0.39%</t>
  </si>
  <si>
    <t>{6027.91976527406, "B_AssaultPack_khk"}, // 0.39%</t>
  </si>
  <si>
    <t>{6066.76396245222, "B_AssaultPack_sgg"}, // 0.39%</t>
  </si>
  <si>
    <t>{6105.60815963037, "B_AssaultPack_rgr"}, // 0.39%</t>
  </si>
  <si>
    <t>{6144.45235680853, "B_AssaultPack_mcamo"}, // 0.39%</t>
  </si>
  <si>
    <t>{6183.29655398669, "B_AssaultPack_dgtl"}, // 0.39%</t>
  </si>
  <si>
    <t>6.5 mm 200Rnd Belt Tracer</t>
  </si>
  <si>
    <t>{6220.13914402077, "U_B_CombatUniform_mcam_tshirt"}, // 0.37%</t>
  </si>
  <si>
    <t>200Rnd_65x39_cased_Box_Tracer</t>
  </si>
  <si>
    <t>{6256.98173405484, "U_B_CTRG_2"}, // 0.37%</t>
  </si>
  <si>
    <t>{6293.82432408892, "U_B_CTRG_3"}, // 0.37%</t>
  </si>
  <si>
    <t>{6330.666914123, "U_I_CombatUniform"}, // 0.37%</t>
  </si>
  <si>
    <t>{6367.50950415708, "U_I_CombatUniform_shortsleeve"}, // 0.37%</t>
  </si>
  <si>
    <t>{6404.35209419116, "U_I_CombatUniform_tshirt"}, // 0.37%</t>
  </si>
  <si>
    <t>{6441.19468422524, "U_I_OfficerUniform"}, // 0.37%</t>
  </si>
  <si>
    <t>{6478.03727425932, "U_O_CombatUniform_ocamo"}, // 0.37%</t>
  </si>
  <si>
    <t>{6514.8798642934, "U_O_CombatUniform_oucamo"}, // 0.37%</t>
  </si>
  <si>
    <t>{6551.72245432748, "U_B_SpecopsUniform_sgg"}, // 0.37%</t>
  </si>
  <si>
    <t>rhs_30Rnd_762x39mm</t>
  </si>
  <si>
    <t>{6588.56504436156, "U_O_SpecopsUniform_blk"}, // 0.37%</t>
  </si>
  <si>
    <t>{6625.40763439563, "U_O_SpecopsUniform_ocamo"}, // 0.37%</t>
  </si>
  <si>
    <t>{6662.25022442971, "U_I_G_Story_Protagonist_F"}, // 0.37%</t>
  </si>
  <si>
    <t>{6699.09281446379, "U_B_survival_uniform"}, // 0.37%</t>
  </si>
  <si>
    <t>{6735.93540449787, "U_B_CTRG_1"}, // 0.37%</t>
  </si>
  <si>
    <t>{6772.77799453195, "U_B_CombatUniform_mcam_worn"}, // 0.37%</t>
  </si>
  <si>
    <t>{6809.62058456603, "U_B_CombatUniform_mcam_vest"}, // 0.37%</t>
  </si>
  <si>
    <t>{6846.46317460011, "U_O_OfficerUniform_ocamo"}, // 0.37%</t>
  </si>
  <si>
    <t>{6883.30576463419, "U_B_CombatUniform_mcam"}, // 0.37%</t>
  </si>
  <si>
    <t>{6919.4904512748, "UGL_FlareGreen_F"}, // 0.36%</t>
  </si>
  <si>
    <t>rhs_30Rnd_762x39mm_tracer</t>
  </si>
  <si>
    <t>{6955.67513791541, "UGL_FlareRed_F"}, // 0.36%</t>
  </si>
  <si>
    <t>{6991.85982455603, "UGL_FlareWhite_F"}, // 0.36%</t>
  </si>
  <si>
    <t>{7028.04451119664, "UGL_FlareYellow_F"}, // 0.36%</t>
  </si>
  <si>
    <t>{7059.3704766629, "B_FieldPack_oucamo"}, // 0.31%</t>
  </si>
  <si>
    <t>{7090.69644212916, "B_FieldPack_ocamo"}, // 0.31%</t>
  </si>
  <si>
    <t>{7122.02240759541, "B_FieldPack_cbr"}, // 0.31%</t>
  </si>
  <si>
    <t>{7153.34837306167, "B_FieldPack_blk"}, // 0.31%</t>
  </si>
  <si>
    <t>{7184.18401906845, "O_IR_Grenade"}, // 0.31%</t>
  </si>
  <si>
    <t>rhs_30Rnd_762x39mm_89</t>
  </si>
  <si>
    <t>{7215.01966507523, "I_IR_Grenade"}, // 0.31%</t>
  </si>
  <si>
    <t>{7245.85531108202, "B_IR_Grenade"}, // 0.31%</t>
  </si>
  <si>
    <t>{7276.5242779212, "H_HelmetB_light_sand"}, // 0.31%</t>
  </si>
  <si>
    <t>{7307.19324476038, "H_HelmetB_light"}, // 0.31%</t>
  </si>
  <si>
    <t>rhs_30Rnd_545x39_AK</t>
  </si>
  <si>
    <t>{7337.86221159956, "H_HelmetB_light_black"}, // 0.31%</t>
  </si>
  <si>
    <t>{7368.53117843874, "H_HelmetB_light_desert"}, // 0.31%</t>
  </si>
  <si>
    <t>{7399.20014527792, "H_HelmetB_light_grass"}, // 0.31%</t>
  </si>
  <si>
    <t>rhs_30Rnd_545x39_AK_no_tracers</t>
  </si>
  <si>
    <t>{7429.8691121171, "H_HelmetB_light_snakeskin"}, // 0.31%</t>
  </si>
  <si>
    <t>{7457.50105464266, "1Rnd_Smoke_Grenade_shell"}, // 0.28%</t>
  </si>
  <si>
    <t>{7485.13299716822, "1Rnd_SmokeBlue_Grenade_shell"}, // 0.28%</t>
  </si>
  <si>
    <t>{7512.76493969378, "1Rnd_SmokeGreen_Grenade_shell"}, // 0.28%</t>
  </si>
  <si>
    <t>{7540.39688221934, "1Rnd_SmokeOrange_Grenade_shell"}, // 0.28%</t>
  </si>
  <si>
    <t>rhs_30Rnd_545x39_AK_green</t>
  </si>
  <si>
    <t>{7568.0288247449, "1Rnd_SmokePurple_Grenade_shell"}, // 0.28%</t>
  </si>
  <si>
    <t>{7595.66076727046, "1Rnd_SmokeRed_Grenade_shell"}, // 0.28%</t>
  </si>
  <si>
    <t>{7623.29270979602, "1Rnd_SmokeYellow_Grenade_shell"}, // 0.28%</t>
  </si>
  <si>
    <t>{7650.80554912103, "30Rnd_556x45_Stanag_Tracer_Green"}, // 0.28%</t>
  </si>
  <si>
    <t>{7678.31838844605, "30Rnd_556x45_Stanag_Tracer_Yellow"}, // 0.28%</t>
  </si>
  <si>
    <t>{7705.83122777107, "30Rnd_556x45_Stanag_Tracer_Red"}, // 0.28%</t>
  </si>
  <si>
    <t>{7732.14503876272, "B_TacticalPack_mcamo"}, // 0.26%</t>
  </si>
  <si>
    <t>rhs_30Rnd_545x39_7N10_AK</t>
  </si>
  <si>
    <t>{7758.45884975438, "B_TacticalPack_ocamo"}, // 0.26%</t>
  </si>
  <si>
    <t>{7784.77266074603, "B_TacticalPack_rgr"}, // 0.26%</t>
  </si>
  <si>
    <t>{7811.08647173769, "B_TacticalPack_blk"}, // 0.26%</t>
  </si>
  <si>
    <t>{7837.40028272934, "B_TacticalPack_oli"}, // 0.26%</t>
  </si>
  <si>
    <t>{7863.66768488327, "H_MilCap_ocamo"}, // 0.26%</t>
  </si>
  <si>
    <t>{7889.9350870372, "H_MilCap_blue"}, // 0.26%</t>
  </si>
  <si>
    <t>{7916.20248919112, "H_MilCap_mcamo"}, // 0.26%</t>
  </si>
  <si>
    <t>rhs_30Rnd_545x39_7N22_AK</t>
  </si>
  <si>
    <t>{7942.46989134505, "H_MilCap_dgtl"}, // 0.26%</t>
  </si>
  <si>
    <t>{7968.73729349898, "H_Watchcap_blk"}, // 0.26%</t>
  </si>
  <si>
    <t>{7995.0046956529, "H_Booniehat_mcamo"}, // 0.26%</t>
  </si>
  <si>
    <t>{8021.27209780683, "H_Watchcap_camo"}, // 0.26%</t>
  </si>
  <si>
    <t>{8047.53949996076, "H_Watchcap_khk"}, // 0.26%</t>
  </si>
  <si>
    <t>{8073.80690211468, "H_Watchcap_sgg"}, // 0.26%</t>
  </si>
  <si>
    <t>{8100.07430426861, "H_Booniehat_dgtl"}, // 0.26%</t>
  </si>
  <si>
    <t>{8126.34170642254, "H_Booniehat_dirty"}, // 0.26%</t>
  </si>
  <si>
    <t>{8152.60910857646, "H_Booniehat_grn"}, // 0.26%</t>
  </si>
  <si>
    <t>rhs_45Rnd_545X39_AK</t>
  </si>
  <si>
    <t>{8178.87651073039, "H_Booniehat_indp"}, // 0.26%</t>
  </si>
  <si>
    <t>{8205.14391288432, "H_Booniehat_khk"}, // 0.26%</t>
  </si>
  <si>
    <t>{8231.41131503825, "H_Booniehat_khk_hs"}, // 0.26%</t>
  </si>
  <si>
    <t>{8257.67871719218, "H_MilCap_oucamo"}, // 0.26%</t>
  </si>
  <si>
    <t>{8283.9461193461, "H_Booniehat_tan"}, // 0.26%</t>
  </si>
  <si>
    <t>{8310.21352150003, "H_MilCap_rucamo"}, // 0.26%</t>
  </si>
  <si>
    <t>{8336.48092365396, "H_Beret_blk"}, // 0.26%</t>
  </si>
  <si>
    <t>{8362.74832580789, "H_Beret_blk_POLICE"}, // 0.26%</t>
  </si>
  <si>
    <t>rhs_45Rnd_545X39_AK_Green</t>
  </si>
  <si>
    <t>{8389.01572796181, "H_Beret_brn_SF"}, // 0.26%</t>
  </si>
  <si>
    <t>{8415.28313011574, "H_Beret_Colonel"}, // 0.26%</t>
  </si>
  <si>
    <t>{8441.55053226967, "H_Beret_grn"}, // 0.26%</t>
  </si>
  <si>
    <t>{8467.8179344236, "H_Beret_grn_SF"}, // 0.26%</t>
  </si>
  <si>
    <t>{8494.08533657753, "H_Beret_ocamo"}, // 0.26%</t>
  </si>
  <si>
    <t>{8520.35273873145, "H_Beret_red"}, // 0.26%</t>
  </si>
  <si>
    <t>{8546.62014088538, "H_Beret_02"}, // 0.26%</t>
  </si>
  <si>
    <t>{8572.34893700145, "V_TacVest_oli"}, // 0.26%</t>
  </si>
  <si>
    <t>{8598.07773311752, "V_TacVest_blk"}, // 0.26%</t>
  </si>
  <si>
    <t>{8623.80652923359, "V_TacVestCamo_khk"}, // 0.26%</t>
  </si>
  <si>
    <t>{8649.53532534967, "V_I_G_resistanceLeader_F"}, // 0.26%</t>
  </si>
  <si>
    <t>rhs_45Rnd_545X39_7N10_AK</t>
  </si>
  <si>
    <t>{8675.26412146574, "V_TacVest_brn"}, // 0.26%</t>
  </si>
  <si>
    <t>{8700.99291758181, "V_TacVest_camo"}, // 0.26%</t>
  </si>
  <si>
    <t>{8726.72171369788, "V_TacVest_khk"}, // 0.26%</t>
  </si>
  <si>
    <t>{8751.69424391464, "arifle_Mk20_GL_F"}, // 0.25%</t>
  </si>
  <si>
    <t>{8776.6667741314, "arifle_Mk20_GL_plain_F"}, // 0.25%</t>
  </si>
  <si>
    <t>rhs_45Rnd_545X39_7N22_AK</t>
  </si>
  <si>
    <t>{8799.66849926078, "H_HelmetB_camo"}, // 0.23%</t>
  </si>
  <si>
    <t>{8822.67022439017, "H_HelmetB_black"}, // 0.23%</t>
  </si>
  <si>
    <t>{8845.67194951955, "H_HelmetB"}, // 0.23%</t>
  </si>
  <si>
    <t>rhs_100Rnd_762x54mmR</t>
  </si>
  <si>
    <t>{8868.67367464894, "H_HelmetIA_net"}, // 0.23%</t>
  </si>
  <si>
    <t>{8891.67539977832, "H_HelmetIA_camo"}, // 0.23%</t>
  </si>
  <si>
    <t>{8914.67712490771, "H_HelmetIA"}, // 0.23%</t>
  </si>
  <si>
    <t>{8937.67885003709, "H_HelmetB_desert"}, // 0.23%</t>
  </si>
  <si>
    <t>{8960.68057516648, "H_HelmetB_paint"}, // 0.23%</t>
  </si>
  <si>
    <t>{8983.68230029586, "H_HelmetB_sand"}, // 0.23%</t>
  </si>
  <si>
    <t>{9006.68402542525, "H_HelmetB_snakeskin"}, // 0.23%</t>
  </si>
  <si>
    <t>{9029.68575055463, "H_HelmetB_plain_blk"}, // 0.23%</t>
  </si>
  <si>
    <t>{9052.68747568402, "H_HelmetB_grass"}, // 0.23%</t>
  </si>
  <si>
    <t>{9073.94169856251, "V_TacVestIR_blk"}, // 0.21%</t>
  </si>
  <si>
    <t>{9094.07727813161, "V_Press_F"}, // 0.20%</t>
  </si>
  <si>
    <t>rhs_100Rnd_762x54mmR_green</t>
  </si>
  <si>
    <t>{9114.21285770071, "V_TacVest_blk_POLICE"}, // 0.20%</t>
  </si>
  <si>
    <t>{9134.19088187412, "arifle_Mk20_F"}, // 0.20%</t>
  </si>
  <si>
    <t>{9154.16890604753, "arifle_Mk20_plain_F"}, // 0.20%</t>
  </si>
  <si>
    <t>{9174.14693022094, "arifle_MXC_Black_F"}, // 0.20%</t>
  </si>
  <si>
    <t>{9194.12495439435, "arifle_MX_GL_F"}, // 0.20%</t>
  </si>
  <si>
    <t>{9214.10297856775, "arifle_MX_GL_Black_F"}, // 0.20%</t>
  </si>
  <si>
    <t>rhs_10Rnd_762x54mmR_7N1</t>
  </si>
  <si>
    <t>{9234.08100274116, "arifle_MX_F"}, // 0.20%</t>
  </si>
  <si>
    <t>{9254.05902691457, "arifle_MX_Black_F"}, // 0.20%</t>
  </si>
  <si>
    <t>{9274.03705108798, "arifle_Mk20C_plain_F"}, // 0.20%</t>
  </si>
  <si>
    <t>{9294.01507526139, "arifle_Mk20C_F"}, // 0.20%</t>
  </si>
  <si>
    <t>{9313.9930994348, "arifle_MXC_F"}, // 0.20%</t>
  </si>
  <si>
    <t>{9329.32758285439, "H_PilotHelmetHeli_B"}, // 0.15%</t>
  </si>
  <si>
    <t>{9344.66206627398, "H_PilotHelmetHeli_I"}, // 0.15%</t>
  </si>
  <si>
    <t>rhs_mag_9x19_17</t>
  </si>
  <si>
    <t>{9359.99654969357, "H_PilotHelmetHeli_O"}, // 0.15%</t>
  </si>
  <si>
    <t>{9375.33103311317, "H_PilotHelmetFighter_O"}, // 0.15%</t>
  </si>
  <si>
    <t>{9390.66551653276, "H_PilotHelmetFighter_I"}, // 0.15%</t>
  </si>
  <si>
    <t>{9405.99999995235, "H_PilotHelmetFighter_B"}, // 0.15%</t>
  </si>
  <si>
    <t>{9421.03646337615, "B_Bergen_sgg"}, // 0.15%</t>
  </si>
  <si>
    <t>{9436.07292679995, "B_Bergen_rgr"}, // 0.15%</t>
  </si>
  <si>
    <t>{9451.10939022376, "B_Bergen_mcamo"}, // 0.15%</t>
  </si>
  <si>
    <t>{9466.14585364756, "B_Bergen_blk"}, // 0.15%</t>
  </si>
  <si>
    <t>{9481.18231707136, "B_Kitbag_cbr"}, // 0.15%</t>
  </si>
  <si>
    <t>{9496.21878049516, "B_Kitbag_mcamo"}, // 0.15%</t>
  </si>
  <si>
    <t>{9511.25524391897, "B_Kitbag_sgg"}, // 0.15%</t>
  </si>
  <si>
    <t>{9525.72911857521, "3Rnd_UGL_FlareYellow_F"}, // 0.14%</t>
  </si>
  <si>
    <t>rhs_mag_9x18_12_57N181S</t>
  </si>
  <si>
    <t>{9540.20299323146, "3Rnd_UGL_FlareWhite_F"}, // 0.14%</t>
  </si>
  <si>
    <t>{9554.6768678877, "3Rnd_UGL_FlareRed_F"}, // 0.14%</t>
  </si>
  <si>
    <t>{9569.15074254395, "3Rnd_UGL_FlareGreen_F"}, // 0.14%</t>
  </si>
  <si>
    <t>{9581.68112873045, "B_Carryall_cbr"}, // 0.13%</t>
  </si>
  <si>
    <t>{9594.21151491695, "B_Carryall_khk"}, // 0.13%</t>
  </si>
  <si>
    <t>{9606.74190110346, "B_Carryall_mcamo"}, // 0.13%</t>
  </si>
  <si>
    <t>rhsusf_mag_7x45acp_MHP</t>
  </si>
  <si>
    <t>{9619.27228728996, "B_Carryall_ocamo"}, // 0.13%</t>
  </si>
  <si>
    <t>{9631.80267347646, "B_Carryall_oli"}, // 0.13%</t>
  </si>
  <si>
    <t>{9644.33305966297, "B_Carryall_oucamo"}, // 0.13%</t>
  </si>
  <si>
    <t>rhsusf_mag_17Rnd_9x19_FMJ</t>
  </si>
  <si>
    <t>{9656.15339063223, "optic_NVS"}, // 0.12%</t>
  </si>
  <si>
    <t>{9667.65425319693, "H_HelmetO_ocamo"}, // 0.12%</t>
  </si>
  <si>
    <t>{9679.15511576162, "H_HelmetSpecB_paint2"}, // 0.12%</t>
  </si>
  <si>
    <t>{9690.65597832631, "H_HelmetSpecB_paint1"}, // 0.12%</t>
  </si>
  <si>
    <t>rhsusf_mag_17Rnd_9x19_JHP</t>
  </si>
  <si>
    <t>{9702.156840891, "H_HelmetSpecB_blk"}, // 0.12%</t>
  </si>
  <si>
    <t>{9713.65770345569, "H_HelmetO_oucamo"}, // 0.12%</t>
  </si>
  <si>
    <t>{9725.15856602038, "H_HelmetCrew_I"}, // 0.12%</t>
  </si>
  <si>
    <t>{9736.65942858508, "H_HelmetCrew_B"}, // 0.12%</t>
  </si>
  <si>
    <t>{9748.16029114977, "H_HelmetCrew_O"}, // 0.12%</t>
  </si>
  <si>
    <t>rhsusf_20Rnd_762x51_m118_special_Mag</t>
  </si>
  <si>
    <t>{9759.66115371446, "H_HelmetSpecB"}, // 0.12%</t>
  </si>
  <si>
    <t>{9769.72894349901, "V_PlateCarrierL_CTRG"}, // 0.10%</t>
  </si>
  <si>
    <t>{9779.79673328356, "V_PlateCarrierIA1_dgtl"}, // 0.10%</t>
  </si>
  <si>
    <t>{9789.86452306811, "V_PlateCarrier1_blk"}, // 0.10%</t>
  </si>
  <si>
    <t>{9799.93231285265, "V_PlateCarrier1_rgr"}, // 0.10%</t>
  </si>
  <si>
    <t>rhsusf_20Rnd_762x51_m993_Mag</t>
  </si>
  <si>
    <t>{9809.14296036117, "3Rnd_SmokeYellow_Grenade_shell"}, // 0.09%</t>
  </si>
  <si>
    <t>{9818.35360786969, "Exile_Uniform_Woodland"}, // 0.09%</t>
  </si>
  <si>
    <t>{9827.56425537821, "3Rnd_SmokeRed_Grenade_shell"}, // 0.09%</t>
  </si>
  <si>
    <t>{9836.77490288673, "3Rnd_Smoke_Grenade_shell"}, // 0.09%</t>
  </si>
  <si>
    <t>{9845.98555039525, "3Rnd_SmokeBlue_Grenade_shell"}, // 0.09%</t>
  </si>
  <si>
    <t>rhs_mag_30Rnd_556x45_Mk262_Stanag</t>
  </si>
  <si>
    <t>{9855.19619790378, "3Rnd_SmokeOrange_Grenade_shell"}, // 0.09%</t>
  </si>
  <si>
    <t>{9864.4068454123, "3Rnd_SmokePurple_Grenade_shell"}, // 0.09%</t>
  </si>
  <si>
    <t>{9873.61749292082, "3Rnd_SmokeGreen_Grenade_shell"}, // 0.09%</t>
  </si>
  <si>
    <t>{9882.56663939597, "V_PlateCarrierIA2_dgtl"}, // 0.09%</t>
  </si>
  <si>
    <t>{9891.51578587113, "V_PlateCarrier2_rgr"}, // 0.09%</t>
  </si>
  <si>
    <t>rhs_mag_30Rnd_556x45_Mk318_Stanag</t>
  </si>
  <si>
    <t>{9900.46493234628, "V_PlateCarrierH_CTRG"}, // 0.09%</t>
  </si>
  <si>
    <t>{9909.41407882144, "V_PlateCarrier3_rgr"}, // 0.09%</t>
  </si>
  <si>
    <t>{9917.08132053123, "H_HelmetSpecO_blk"}, // 0.08%</t>
  </si>
  <si>
    <t>{9924.74856224103, "H_CrewHelmetHeli_B"}, // 0.08%</t>
  </si>
  <si>
    <t>{9932.41580395082, "H_CrewHelmetHeli_O"}, // 0.08%</t>
  </si>
  <si>
    <t>{9940.08304566061, "H_HelmetSpecO_ocamo"}, // 0.08%</t>
  </si>
  <si>
    <t>rhs_mag_30Rnd_556x45_M855A1_Stanag</t>
  </si>
  <si>
    <t>{9947.75028737041, "H_HelmetLeaderO_ocamo"}, // 0.08%</t>
  </si>
  <si>
    <t>{9955.4175290802, "H_HelmetLeaderO_oucamo"}, // 0.08%</t>
  </si>
  <si>
    <t>{9963.08477079, "H_CrewHelmetHeli_I"}, // 0.08%</t>
  </si>
  <si>
    <t>{9969.79663064636, "V_PlateCarrierSpec_blk"}, // 0.07%</t>
  </si>
  <si>
    <t>{9976.50849050273, "V_PlateCarrierSpec_mtp"}, // 0.07%</t>
  </si>
  <si>
    <t>{9983.2203503591, "V_PlateCarrierSpec_rgr"}, // 0.07%</t>
  </si>
  <si>
    <t>{9986.57628028728, "V_PlateCarrierGL_blk"}, // 0.03%</t>
  </si>
  <si>
    <t>{9989.93221021546, "V_PlateCarrierGL_mtp"}, // 0.03%</t>
  </si>
  <si>
    <t>{9993.28814014364, "V_PlateCarrierGL_rgr"}, // 0.03%</t>
  </si>
  <si>
    <t>{9996.64407007183, "V_PlateCarrierIAGL_dgtl"}, // 0.03%</t>
  </si>
  <si>
    <t>rhs_mag_30Rnd_556x45_M855A1_Stanag_No_Tracer</t>
  </si>
  <si>
    <t>{10000, "V_PlateCarrierIAGL_oli"} // 0.03%</t>
  </si>
  <si>
    <t>rhs_mag_30Rnd_556x45_M855A1_Stanag_Tracer_Red</t>
  </si>
  <si>
    <t>rhs_mag_30Rnd_556x45_M855A1_Stanag_Tracer_Green</t>
  </si>
  <si>
    <t xml:space="preserve">  Exile_Item_PlasticBottleCoffee</t>
  </si>
  <si>
    <t xml:space="preserve">  Exile_Item_EnergyDrink</t>
  </si>
  <si>
    <t>rhs_mag_30Rnd_556x45_M855A1_Stanag_Tracer_Yellow</t>
  </si>
  <si>
    <t>rhsusf_5Rnd_300winmag_xm2010</t>
  </si>
  <si>
    <t>rhsusf_5Rnd_00Buck</t>
  </si>
  <si>
    <t>rhsusf_8Rnd_00Buck</t>
  </si>
  <si>
    <t>rhsusf_5Rnd_Slug</t>
  </si>
  <si>
    <t>rhsusf_8Rnd_Slug</t>
  </si>
  <si>
    <t xml:space="preserve">  Exile_Item_MountainDupe</t>
  </si>
  <si>
    <t>rhsusf_5Rnd_HE</t>
  </si>
  <si>
    <t>rhsusf_8Rnd_HE</t>
  </si>
  <si>
    <t>rhsusf_5Rnd_FRAG</t>
  </si>
  <si>
    <t>rhsusf_8Rnd_FRAG</t>
  </si>
  <si>
    <t>class Medical</t>
  </si>
  <si>
    <t>count = 13;</t>
  </si>
  <si>
    <t>half = 9260.86956521739;</t>
  </si>
  <si>
    <t>halfIndex = 6;</t>
  </si>
  <si>
    <t>rhsusf_100Rnd_556x45_soft_pouch</t>
  </si>
  <si>
    <t>{3600, "Exile_Item_Bandage"}, // 36.00%</t>
  </si>
  <si>
    <t>{5400, "Exile_Item_Vishpirin"}, // 18.00%</t>
  </si>
  <si>
    <t>{6400, "Exile_Item_Can_Empty"}, // 10.00%</t>
  </si>
  <si>
    <t>{7400, "Exile_Item_ToiletPaper"}, // 10.00%</t>
  </si>
  <si>
    <t>rhsusf_200Rnd_556x45_soft_pouch</t>
  </si>
  <si>
    <t>{8400, "Exile_Item_PlasticBottleEmpty"}, // 10.00%</t>
  </si>
  <si>
    <t>{9000, "Exile_Item_InstaDoc"}, // 6.00%</t>
  </si>
  <si>
    <t>{9260.86956521739, "Exile_Item_PlasticBottleDirtyWater"}, // 2.61%</t>
  </si>
  <si>
    <t>{9434.78260869565, "Exile_Item_MountainDupe"}, // 1.74%</t>
  </si>
  <si>
    <t>{9565.21739130435, "Exile_Item_PlasticBottleFreshWater"}, // 1.30%</t>
  </si>
  <si>
    <t>rhsusf_50Rnd_762x51</t>
  </si>
  <si>
    <t>{9695.65217391304, "Exile_Item_Beer"}, // 1.30%</t>
  </si>
  <si>
    <t>{9826.08695652174, "Exile_Item_EnergyDrink"}, // 1.30%</t>
  </si>
  <si>
    <t>{9913.04347826087, "Exile_Item_PlasticBottleCoffee"}, // 0.87%</t>
  </si>
  <si>
    <t>{10000, "Exile_Item_PowerDrink"} // 0.87%</t>
  </si>
  <si>
    <t>rhsusf_50Rnd_762x51_m61_ap</t>
  </si>
  <si>
    <t xml:space="preserve">  U_BG_Guerilla2_2</t>
  </si>
  <si>
    <t xml:space="preserve">  optic_MRD</t>
  </si>
  <si>
    <t>rhsusf_50Rnd_762x51_m62_tracer</t>
  </si>
  <si>
    <t>rhsusf_50Rnd_762x51_m80a1epr</t>
  </si>
  <si>
    <t>rhsusf_100Rnd_762x51</t>
  </si>
  <si>
    <t xml:space="preserve">  1Rnd_Smoke_Grenade_shell</t>
  </si>
  <si>
    <t xml:space="preserve">  U_IG_Guerilla1_1</t>
  </si>
  <si>
    <t xml:space="preserve">  U_BG_Guerilla2_1</t>
  </si>
  <si>
    <t xml:space="preserve">  30Rnd_45ACP_Mag_SMG_01_Tracer_Yellow</t>
  </si>
  <si>
    <t>rhsusf_100Rnd_762x51_m61_ap</t>
  </si>
  <si>
    <t>rhsusf_100Rnd_762x51_m62_tracer</t>
  </si>
  <si>
    <t xml:space="preserve">  1Rnd_SmokePurple_Grenade_shell</t>
  </si>
  <si>
    <t>rhsusf_100Rnd_762x51_m80a1epr</t>
  </si>
  <si>
    <t xml:space="preserve">  muzzle_snds_L</t>
  </si>
  <si>
    <t xml:space="preserve">  U_BG_leader</t>
  </si>
  <si>
    <t>rhsusf_50Rnd_762x51_m993</t>
  </si>
  <si>
    <t xml:space="preserve">  U_IG_Guerilla2_1</t>
  </si>
  <si>
    <t xml:space="preserve">  O_IR_Grenade</t>
  </si>
  <si>
    <t xml:space="preserve">  9Rnd_45ACP_Mag</t>
  </si>
  <si>
    <t>rhsusf_100Rnd_762x51_m993</t>
  </si>
  <si>
    <t xml:space="preserve">  optic_Yorris</t>
  </si>
  <si>
    <t>rhs_200rnd_556x45_M_SAW</t>
  </si>
  <si>
    <t xml:space="preserve">  3Rnd_SmokeOrange_Grenade_shell</t>
  </si>
  <si>
    <t>rhs_200rnd_556x45_T_SAW</t>
  </si>
  <si>
    <t xml:space="preserve">  1Rnd_SmokeGreen_Grenade_shell</t>
  </si>
  <si>
    <t>rhs_200rnd_556x45_B_SAW</t>
  </si>
  <si>
    <t>STATIC_MGS</t>
  </si>
  <si>
    <t>O_HMG_01_weapon_F</t>
  </si>
  <si>
    <t xml:space="preserve">  U_BG_Guerilla2_3</t>
  </si>
  <si>
    <t>O_HMG_01_support_F</t>
  </si>
  <si>
    <t xml:space="preserve">  SmokeShellBlue</t>
  </si>
  <si>
    <t>class Tourist</t>
  </si>
  <si>
    <t>count = 111;</t>
  </si>
  <si>
    <t>half = 8230.71096030931;</t>
  </si>
  <si>
    <t>halfIndex = 55;</t>
  </si>
  <si>
    <t>FLARES</t>
  </si>
  <si>
    <t>{350.877192982456, "Exile_Item_PlasticBottleEmpty"}, // 3.51%</t>
  </si>
  <si>
    <t>{701.754385964912, "Exile_Item_Can_Empty"}, // 3.51%</t>
  </si>
  <si>
    <t>{1052.63157894737, "Exile_Item_ToiletPaper"}, // 3.51%</t>
  </si>
  <si>
    <t>{1368.42105263158, "Exile_Item_Bandage"}, // 3.16%</t>
  </si>
  <si>
    <t>{1681.48820326679, "30Rnd_9x21_Mag"}, // 3.13%</t>
  </si>
  <si>
    <t>{1994.555353902, "30Rnd_45ACP_Mag_SMG_01"}, // 3.13%</t>
  </si>
  <si>
    <t>{2257.71324863884, "B_HuntingBackpack"}, // 2.63%</t>
  </si>
  <si>
    <t>{2520.87114337568, "B_OutdoorPack_blu"}, // 2.63%</t>
  </si>
  <si>
    <t>{2784.02903811252, "B_OutdoorPack_blk"}, // 2.63%</t>
  </si>
  <si>
    <t>{3047.18693284936, "B_OutdoorPack_tan"}, // 2.63%</t>
  </si>
  <si>
    <t>{3231.85913968224, "SMG_02_F"}, // 1.85%</t>
  </si>
  <si>
    <t>{3416.53134651511, "SMG_01_F"}, // 1.85%</t>
  </si>
  <si>
    <t>{3574.42608335721, "ItemRadio"}, // 1.58%</t>
  </si>
  <si>
    <t>{3732.32082019932, "Exile_Item_Vishpirin"}, // 1.58%</t>
  </si>
  <si>
    <t>{3890.21555704142, "ItemWatch"}, // 1.58%</t>
  </si>
  <si>
    <t>{4047.18693284937, "hgun_PDW2000_F"}, // 1.57%</t>
  </si>
  <si>
    <t>{4195.02844674647, "6Rnd_GreenSignal_F"}, // 1.48%</t>
  </si>
  <si>
    <t>{4342.86996064357, "6Rnd_RedSignal_F"}, // 1.48%</t>
  </si>
  <si>
    <t>{4490.71147454067, "6Rnd_45ACP_Cylinder"}, // 1.48%</t>
  </si>
  <si>
    <t>{4628.01124570772, "HandGrenade"}, // 1.37%</t>
  </si>
  <si>
    <t>{4765.31101687477, "MiniGrenade"}, // 1.37%</t>
  </si>
  <si>
    <t>{4902.61078804182, "1Rnd_HE_Grenade_shell"}, // 1.37%</t>
  </si>
  <si>
    <t>{5039.91055920886, "Exile_Item_PlasticBottleDirtyWater"}, // 1.37%</t>
  </si>
  <si>
    <t>{5171.48950657728, "optic_ACO_grn_smg"}, // 1.32%</t>
  </si>
  <si>
    <t>{5303.06845394571, "optic_Aco_smg"}, // 1.32%</t>
  </si>
  <si>
    <t>{5434.64740131413, "optic_Holosight_smg"}, // 1.32%</t>
  </si>
  <si>
    <t>{5566.22634868255, "muzzle_snds_L"}, // 1.32%</t>
  </si>
  <si>
    <t>{5697.80529605097, "optic_MRD"}, // 1.32%</t>
  </si>
  <si>
    <t>{5829.38424341939, "muzzle_snds_acp"}, // 1.32%</t>
  </si>
  <si>
    <t>{5960.96319078781, "optic_Yorris"}, // 1.32%</t>
  </si>
  <si>
    <t>{6088.10689273932, "9Rnd_45ACP_Mag"}, // 1.27%</t>
  </si>
  <si>
    <t>{6206.380103857, "11Rnd_45ACP_Mag"}, // 1.18%</t>
  </si>
  <si>
    <t>{6311.64326175174, "Binocular"}, // 1.05%</t>
  </si>
  <si>
    <t>{6416.90641964647, "ItemGPS"}, // 1.05%</t>
  </si>
  <si>
    <t>{6517.4386490965, "16Rnd_9x21_Mag"}, // 1.01%</t>
  </si>
  <si>
    <t>{6608.97182987453, "hgun_Pistol_Signal_F"}, // 0.92%</t>
  </si>
  <si>
    <t>{6700.50501065257, "hgun_Pistol_heavy_01_F"}, // 0.92%</t>
  </si>
  <si>
    <t>{6792.0381914306, "Exile_Item_MountainDupe"}, // 0.92%</t>
  </si>
  <si>
    <t>{6883.57137220863, "hgun_Rook40_F"}, // 0.92%</t>
  </si>
  <si>
    <t>{6970.52789394776, "hgun_Pistol_heavy_02_F"}, // 0.87%</t>
  </si>
  <si>
    <t>{7055.19608616744, "hgun_P07_F"}, // 0.85%</t>
  </si>
  <si>
    <t>{7139.40661248323, "U_IG_Guerilla2_2"}, // 0.84%</t>
  </si>
  <si>
    <t>{7223.61713879902, "U_IG_Guerilla2_3"}, // 0.84%</t>
  </si>
  <si>
    <t>{7307.82766511481, "U_BG_Guerilla2_1"}, // 0.84%</t>
  </si>
  <si>
    <t>{7392.0381914306, "U_IG_Guerilla2_1"}, // 0.84%</t>
  </si>
  <si>
    <t>{7476.24871774639, "U_BG_Guerrilla_6_1"}, // 0.84%</t>
  </si>
  <si>
    <t>{7560.45924406217, "U_IG_Guerilla1_1"}, // 0.84%</t>
  </si>
  <si>
    <t>{7644.66977037796, "U_BG_Guerilla2_3"}, // 0.84%</t>
  </si>
  <si>
    <t>{7728.88029669375, "U_BG_Guerilla2_2"}, // 0.84%</t>
  </si>
  <si>
    <t>{7813.09082300954, "U_BG_Guerilla1_1"}, // 0.84%</t>
  </si>
  <si>
    <t>{7893.18235619032, "hgun_ACPC2_F"}, // 0.80%</t>
  </si>
  <si>
    <t>{7961.83224177384, "Exile_Item_Beer"}, // 0.69%</t>
  </si>
  <si>
    <t>{8030.48212735737, "Exile_Item_EnergyDrink"}, // 0.69%</t>
  </si>
  <si>
    <t>{8099.13201294089, "Exile_Item_PlasticBottleFreshWater"}, // 0.69%</t>
  </si>
  <si>
    <t>{8164.9214866251, "optic_ACO_grn"}, // 0.66%</t>
  </si>
  <si>
    <t>{8230.71096030931, "optic_Aco"}, // 0.66%</t>
  </si>
  <si>
    <t>{8286.85131118651, "U_BG_leader"}, // 0.56%</t>
  </si>
  <si>
    <t>{8342.9916620637, "U_I_G_resistanceLeader_F"}, // 0.56%</t>
  </si>
  <si>
    <t>{8399.13201294089, "U_IG_leader"}, // 0.56%</t>
  </si>
  <si>
    <t>{8453.57847392093, "30Rnd_45ACP_Mag_SMG_01_Tracer_Red"}, // 0.54%</t>
  </si>
  <si>
    <t>{8508.02493490096, "30Rnd_45ACP_Mag_SMG_01_Tracer_Green"}, // 0.54%</t>
  </si>
  <si>
    <t>{8562.471395881, "30Rnd_45ACP_Mag_SMG_01_Tracer_Yellow"}, // 0.54%</t>
  </si>
  <si>
    <t>{8615.10297482837, "Exile_Item_InstaDoc"}, // 0.53%</t>
  </si>
  <si>
    <t>{8666.70256203167, "Exile_Item_Raisins"}, // 0.52%</t>
  </si>
  <si>
    <t>{8718.30214923497, "Exile_Item_Moobar"}, // 0.52%</t>
  </si>
  <si>
    <t>{8769.90173643827, "Exile_Item_InstantCoffee"}, // 0.52%</t>
  </si>
  <si>
    <t>{8817.74862639043, "SmokeShellBlue"}, // 0.48%</t>
  </si>
  <si>
    <t>{8865.59551634258, "SmokeShellRed"}, // 0.48%</t>
  </si>
  <si>
    <t>{8913.44240629474, "SmokeShellPurple"}, // 0.48%</t>
  </si>
  <si>
    <t>{8961.28929624689, "SmokeShellOrange"}, // 0.48%</t>
  </si>
  <si>
    <t>{9009.13618619904, "SmokeShellGreen"}, // 0.48%</t>
  </si>
  <si>
    <t>{9056.9830761512, "SmokeShellYellow"}, // 0.48%</t>
  </si>
  <si>
    <t>{9104.82996610335, "SmokeShell"}, // 0.48%</t>
  </si>
  <si>
    <t>{9150.59655649237, "Exile_Item_PlasticBottleCoffee"}, // 0.46%</t>
  </si>
  <si>
    <t>{9196.36314688138, "Exile_Item_PowerDrink"}, // 0.46%</t>
  </si>
  <si>
    <t>{9242.1297372704, "3Rnd_HE_Grenade_shell"}, // 0.46%</t>
  </si>
  <si>
    <t>{9284.23500042829, "U_BG_Guerilla3_1"}, // 0.42%</t>
  </si>
  <si>
    <t>{9326.34026358619, "U_IG_Guerilla3_2"}, // 0.42%</t>
  </si>
  <si>
    <t>{9368.44552674408, "U_IG_Guerilla3_1"}, // 0.42%</t>
  </si>
  <si>
    <t>{9409.72519650673, "Exile_Item_SeedAstics"}, // 0.41%</t>
  </si>
  <si>
    <t>{9445.84490754904, "Exile_Item_Noodles"}, // 0.36%</t>
  </si>
  <si>
    <t>{9476.80465987102, "Exile_Item_Cheathas"}, // 0.31%</t>
  </si>
  <si>
    <t>{9507.764412193, "Exile_Item_BeefParts"}, // 0.31%</t>
  </si>
  <si>
    <t>GP25 Flare Round</t>
  </si>
  <si>
    <t>{9538.72416451498, "Exile_Item_Dogfood"}, // 0.31%</t>
  </si>
  <si>
    <t>rhs_VG400P_white</t>
  </si>
  <si>
    <t>{9564.52395811663, "Exile_Item_Matches"}, // 0.26%</t>
  </si>
  <si>
    <t>{9590.32375171828, "Exile_Item_ChristmasTinner"}, // 0.26%</t>
  </si>
  <si>
    <t>{9616.12354531994, "Exile_Item_Catfood"}, // 0.26%</t>
  </si>
  <si>
    <t>{9641.92333892159, "Exile_Item_BBQSandwich"}, // 0.26%</t>
  </si>
  <si>
    <t>{9664.80663411609, "I_IR_Grenade"}, // 0.23%</t>
  </si>
  <si>
    <t>{9687.6899293106, "O_IR_Grenade"}, // 0.23%</t>
  </si>
  <si>
    <t>{9710.57322450511, "B_IR_Grenade"}, // 0.23%</t>
  </si>
  <si>
    <t>rhs_VG400P_green</t>
  </si>
  <si>
    <t>{9731.21305938643, "Exile_Item_SausageGravy"}, // 0.21%</t>
  </si>
  <si>
    <t>{9751.71886936593, "1Rnd_SmokeOrange_Grenade_shell"}, // 0.21%</t>
  </si>
  <si>
    <t>{9772.22467934542, "1Rnd_Smoke_Grenade_shell"}, // 0.21%</t>
  </si>
  <si>
    <t>{9792.73048932492, "1Rnd_SmokeBlue_Grenade_shell"}, // 0.21%</t>
  </si>
  <si>
    <t>{9813.23629930441, "1Rnd_SmokeGreen_Grenade_shell"}, // 0.21%</t>
  </si>
  <si>
    <t>{9833.74210928391, "1Rnd_SmokePurple_Grenade_shell"}, // 0.21%</t>
  </si>
  <si>
    <t>{9854.2479192634, "1Rnd_SmokeRed_Grenade_shell"}, // 0.21%</t>
  </si>
  <si>
    <t>{9874.7537292429, "1Rnd_SmokeYellow_Grenade_shell"}, // 0.21%</t>
  </si>
  <si>
    <t>{9890.23360540389, "Exile_Item_CanOpener"}, // 0.15%</t>
  </si>
  <si>
    <t>rhs_VG400P_red</t>
  </si>
  <si>
    <t>{9905.71348156488, "Exile_Item_CookingPot"}, // 0.15%</t>
  </si>
  <si>
    <t>{9921.19335772587, "Exile_Item_EMRE"}, // 0.15%</t>
  </si>
  <si>
    <t>{9936.67323388686, "Exile_Item_GloriousKnakworst"}, // 0.15%</t>
  </si>
  <si>
    <t>{9952.15311004785, "Exile_Item_Surstromming"}, // 0.15%</t>
  </si>
  <si>
    <t>{9958.98838004102, "3Rnd_SmokePurple_Grenade_shell"}, // 0.07%</t>
  </si>
  <si>
    <t>{9965.82365003418, "3Rnd_SmokeBlue_Grenade_shell"}, // 0.07%</t>
  </si>
  <si>
    <t>SMOKES</t>
  </si>
  <si>
    <t>{9972.65892002735, "3Rnd_Smoke_Grenade_shell"}, // 0.07%</t>
  </si>
  <si>
    <t>{9979.49419002051, "3Rnd_SmokeRed_Grenade_shell"}, // 0.07%</t>
  </si>
  <si>
    <t>{9986.32946001368, "3Rnd_SmokeYellow_Grenade_shell"}, // 0.07%</t>
  </si>
  <si>
    <t>{9993.16473000685, "3Rnd_SmokeOrange_Grenade_shell"}, // 0.07%</t>
  </si>
  <si>
    <t>{10000, "3Rnd_SmokeGreen_Grenade_shell"} // 0.07%</t>
  </si>
  <si>
    <t xml:space="preserve">  100Rnd_65x39_caseless_mag</t>
  </si>
  <si>
    <t xml:space="preserve">  arifle_MX_SW_F</t>
  </si>
  <si>
    <t xml:space="preserve">  APERSMine_Range_Mag</t>
  </si>
  <si>
    <t xml:space="preserve">  10Rnd_127x54_Mag</t>
  </si>
  <si>
    <t xml:space="preserve">  V_TacVest_blk_POLICE</t>
  </si>
  <si>
    <t xml:space="preserve">  U_I_G_Story_Protagonist_F</t>
  </si>
  <si>
    <t xml:space="preserve">  U_B_FullGhillie_sard</t>
  </si>
  <si>
    <t xml:space="preserve">  LMG_Zafir_F</t>
  </si>
  <si>
    <t xml:space="preserve">  muzzle_snds_B</t>
  </si>
  <si>
    <t xml:space="preserve">  U_I_OfficerUniform</t>
  </si>
  <si>
    <t xml:space="preserve">  5Rnd_127x108_APDS_Mag</t>
  </si>
  <si>
    <t xml:space="preserve">  H_CrewHelmetHeli_I</t>
  </si>
  <si>
    <t xml:space="preserve">  10Rnd_762x51_Mag</t>
  </si>
  <si>
    <t xml:space="preserve">  H_HelmetB_light_snakeskin</t>
  </si>
  <si>
    <t xml:space="preserve">  srifle_DMR_01_F</t>
  </si>
  <si>
    <t xml:space="preserve">  B_FieldPack_blk</t>
  </si>
  <si>
    <t xml:space="preserve">  H_HelmetIA</t>
  </si>
  <si>
    <t xml:space="preserve">  H_HelmetB_light</t>
  </si>
  <si>
    <t xml:space="preserve">  150Rnd_762x54_Box_Tracer</t>
  </si>
  <si>
    <t xml:space="preserve">  150Rnd_762x54_Box</t>
  </si>
  <si>
    <t xml:space="preserve">  H_PilotHelmetHeli_B</t>
  </si>
  <si>
    <t xml:space="preserve">  H_CrewHelmetHeli_B</t>
  </si>
  <si>
    <t xml:space="preserve">  10Rnd_762x54_Mag</t>
  </si>
  <si>
    <t xml:space="preserve">  V_TacVestIR_blk</t>
  </si>
  <si>
    <t xml:space="preserve">  H_HelmetSpecO_ocamo</t>
  </si>
  <si>
    <t xml:space="preserve">  ClaymoreDirectionalMine_Remote_Mag</t>
  </si>
  <si>
    <t xml:space="preserve">  10Rnd_338_Mag</t>
  </si>
  <si>
    <t xml:space="preserve">  U_I_GhillieSuit</t>
  </si>
  <si>
    <t xml:space="preserve">  NVGoggles_OPFOR</t>
  </si>
  <si>
    <t xml:space="preserve">  SLAMDirectionalMine_Wire_Mag</t>
  </si>
  <si>
    <t xml:space="preserve">  B_TacticalPack_oli</t>
  </si>
  <si>
    <t xml:space="preserve">  130Rnd_338_Mag</t>
  </si>
  <si>
    <t xml:space="preserve">  muzzle_snds_93mmg</t>
  </si>
  <si>
    <t xml:space="preserve">  H_PilotHelmetFighter_B</t>
  </si>
  <si>
    <t xml:space="preserve">  NVGoggles</t>
  </si>
  <si>
    <t xml:space="preserve">  muzzle_snds_93mmg_tan</t>
  </si>
  <si>
    <t xml:space="preserve">  U_O_Wetsuit</t>
  </si>
  <si>
    <t xml:space="preserve">  U_B_CombatUniform_mcam_vest</t>
  </si>
  <si>
    <t xml:space="preserve">  B_FieldPack_ocamo</t>
  </si>
  <si>
    <t xml:space="preserve">  100Rnd_65x39_caseless_mag_Tracer</t>
  </si>
  <si>
    <t xml:space="preserve">  H_HelmetCrew_O</t>
  </si>
  <si>
    <t xml:space="preserve">  arifle_MXM_Black_F</t>
  </si>
  <si>
    <t xml:space="preserve">  B_Kitbag_sgg</t>
  </si>
  <si>
    <t xml:space="preserve">  U_B_Wetsuit</t>
  </si>
  <si>
    <t xml:space="preserve">  srifle_DMR_03_khaki_F</t>
  </si>
  <si>
    <t xml:space="preserve">  V_PlateCarrierSpec_rgr</t>
  </si>
  <si>
    <t xml:space="preserve">  Exile_Item_Laptop</t>
  </si>
  <si>
    <t xml:space="preserve">  H_HelmetLeaderO_ocamo</t>
  </si>
  <si>
    <t xml:space="preserve">  Rangefinder</t>
  </si>
  <si>
    <t xml:space="preserve">  bipod_01_F_blk</t>
  </si>
  <si>
    <t xml:space="preserve">  FlareRed_F</t>
  </si>
  <si>
    <t xml:space="preserve">  srifle_DMR_04_F</t>
  </si>
  <si>
    <t xml:space="preserve">  H_PilotHelmetHeli_I</t>
  </si>
  <si>
    <t xml:space="preserve">  MMG_01_tan_F</t>
  </si>
  <si>
    <t>class Ranger</t>
  </si>
  <si>
    <t>count = 248;</t>
  </si>
  <si>
    <t>half = 7982.75338080805;</t>
  </si>
  <si>
    <t>halfIndex = 124;</t>
  </si>
  <si>
    <t>{400, "Exile_Item_ZipTie"}, // 4.00%</t>
  </si>
  <si>
    <t>{660, "Exile_Item_BaseCameraKit"}, // 2.60%</t>
  </si>
  <si>
    <t>{900, "Exile_Item_Bandage"}, // 2.40%</t>
  </si>
  <si>
    <t>{1120.68965517241, "100Rnd_65x39_caseless_mag"}, // 2.21%</t>
  </si>
  <si>
    <t>{1286.20689655172, "100Rnd_65x39_caseless_mag_Tracer"}, // 1.66%</t>
  </si>
  <si>
    <t>GP25 Mid Air Detonation Smoke Grenade</t>
  </si>
  <si>
    <t>{1419.54022988506, "U_I_Wetsuit"}, // 1.33%</t>
  </si>
  <si>
    <t>rhs_GDM40</t>
  </si>
  <si>
    <t>{1552.87356321839, "U_O_Wetsuit"}, // 1.33%</t>
  </si>
  <si>
    <t>{1686.20689655172, "U_B_Wetsuit"}, // 1.33%</t>
  </si>
  <si>
    <t>{1806.20689655172, "Exile_Item_Vishpirin"}, // 1.20%</t>
  </si>
  <si>
    <t>{1919.48123283491, "10Rnd_762x54_Mag"}, // 1.13%</t>
  </si>
  <si>
    <t>{2032.7555691181, "10Rnd_762x51_Mag"}, // 1.13%</t>
  </si>
  <si>
    <t>{2137.10339520505, "HandGrenade"}, // 1.04%</t>
  </si>
  <si>
    <t>{2241.45122129201, "MiniGrenade"}, // 1.04%</t>
  </si>
  <si>
    <t>GP25 Smoke Grenade</t>
  </si>
  <si>
    <t>{2345.79904737897, "1Rnd_HE_Grenade_shell"}, // 1.04%</t>
  </si>
  <si>
    <t>rhs_GRO40_White</t>
  </si>
  <si>
    <t>{2449.73605525298, "LMG_Mk200_F"}, // 1.04%</t>
  </si>
  <si>
    <t>{2553.63215914909, "muzzle_snds_B"}, // 1.04%</t>
  </si>
  <si>
    <t>{2654.41956072389, "LMG_Zafir_F"}, // 1.01%</t>
  </si>
  <si>
    <t>{2754.41956072389, "Rangefinder"}, // 1.00%</t>
  </si>
  <si>
    <t>{2854.41956072389, "NVGoggles_OPFOR"}, // 1.00%</t>
  </si>
  <si>
    <t>{2954.41956072389, "NVGoggles_INDEP"}, // 1.00%</t>
  </si>
  <si>
    <t>{3054.41956072389, "Exile_Item_Laptop"}, // 1.00%</t>
  </si>
  <si>
    <t>{3154.41956072389, "NVGoggles"}, // 1.00%</t>
  </si>
  <si>
    <t>{3253.53460497168, "10Rnd_338_Mag"}, // 0.99%</t>
  </si>
  <si>
    <t>rhs_GRO40_Green</t>
  </si>
  <si>
    <t>{3345.57000320176, "10Rnd_93x64_DMR_05_Mag"}, // 0.92%</t>
  </si>
  <si>
    <t>{3437.60540143185, "10Rnd_127x54_Mag"}, // 0.92%</t>
  </si>
  <si>
    <t>{3522.56115364424, "20Rnd_762x51_Mag"}, // 0.85%</t>
  </si>
  <si>
    <t>{3607.51690585663, "7Rnd_408_Mag"}, // 0.85%</t>
  </si>
  <si>
    <t>{3690.27552654629, "130Rnd_338_Mag"}, // 0.83%</t>
  </si>
  <si>
    <t>{3773.03414723594, "150Rnd_762x54_Box"}, // 0.83%</t>
  </si>
  <si>
    <t>rhs_GRO40_Red</t>
  </si>
  <si>
    <t>{3855.7927679256, "150Rnd_93x64_Mag"}, // 0.83%</t>
  </si>
  <si>
    <t>{3926.58922810259, "5Rnd_127x108_Mag"}, // 0.71%</t>
  </si>
  <si>
    <t>{3993.63468264804, "srifle_DMR_01_F"}, // 0.67%</t>
  </si>
  <si>
    <t>{4051.6788466859, "V_TacVestCamo_khk"}, // 0.58%</t>
  </si>
  <si>
    <t>{4109.72301072375, "V_I_G_resistanceLeader_F"}, // 0.58%</t>
  </si>
  <si>
    <t>{4167.76717476161, "V_TacVest_oli"}, // 0.58%</t>
  </si>
  <si>
    <t>{4225.81133879946, "V_TacVest_brn"}, // 0.58%</t>
  </si>
  <si>
    <t>{4283.85550283732, "V_TacVest_camo"}, // 0.58%</t>
  </si>
  <si>
    <t>{4341.89966687517, "V_TacVest_blk"}, // 0.58%</t>
  </si>
  <si>
    <t>EXPLOSIVES</t>
  </si>
  <si>
    <t>{4399.94383091303, "V_TacVest_khk"}, // 0.58%</t>
  </si>
  <si>
    <t>{4455.11624470613, "150Rnd_762x54_Box_Tracer"}, // 0.55%</t>
  </si>
  <si>
    <t>{4510.28865849923, "200Rnd_65x39_cased_Box"}, // 0.55%</t>
  </si>
  <si>
    <t>{4565.46107229234, "200Rnd_65x39_cased_Box_Tracer"}, // 0.55%</t>
  </si>
  <si>
    <t>{4619.00437937895, "arifle_MX_SW_Black_F"}, // 0.54%</t>
  </si>
  <si>
    <t>{4672.54768646556, "arifle_MX_SW_F"}, // 0.54%</t>
  </si>
  <si>
    <t>{4725.8810197989, "U_O_GhillieSuit"}, // 0.53%</t>
  </si>
  <si>
    <t>{4779.21435313223, "U_B_GhillieSuit"}, // 0.53%</t>
  </si>
  <si>
    <t>{4832.54768646556, "U_I_GhillieSuit"}, // 0.53%</t>
  </si>
  <si>
    <t>{4882.54768646556, "bipod_01_F_blk"}, // 0.50%</t>
  </si>
  <si>
    <t>{4932.54768646556, "bipod_01_F_mtp"}, // 0.50%</t>
  </si>
  <si>
    <t>{4982.54768646556, "bipod_03_F_oli"}, // 0.50%</t>
  </si>
  <si>
    <t>{5032.54768646556, "bipod_03_F_blk"}, // 0.50%</t>
  </si>
  <si>
    <t>{5082.54768646556, "bipod_02_F_hex"}, // 0.50%</t>
  </si>
  <si>
    <t>{5132.54768646556, "bipod_02_F_blk"}, // 0.50%</t>
  </si>
  <si>
    <t>{5182.54768646556, "bipod_01_F_snd"}, // 0.50%</t>
  </si>
  <si>
    <t>{5232.54768646556, "bipod_02_F_tan"}, // 0.50%</t>
  </si>
  <si>
    <t>{5282.10520858946, "5Rnd_127x108_APDS_Mag"}, // 0.50%</t>
  </si>
  <si>
    <t>{5330.05473540334, "V_TacVestIR_blk"}, // 0.48%</t>
  </si>
  <si>
    <t>{5377.67378302239, "APERSBoundingMine_Range_Mag"}, // 0.48%</t>
  </si>
  <si>
    <t>{5425.29283064143, "APERSTripMine_Wire_Mag"}, // 0.48%</t>
  </si>
  <si>
    <t>{5472.91187826048, "ClaymoreDirectionalMine_Remote_Mag"}, // 0.48%</t>
  </si>
  <si>
    <t>{5520.53092587953, "DemoCharge_Remote_Mag"}, // 0.48%</t>
  </si>
  <si>
    <t>{5568.14997349858, "SLAMDirectionalMine_Wire_Mag"}, // 0.48%</t>
  </si>
  <si>
    <t>{5615.76902111762, "APERSMine_Range_Mag"}, // 0.48%</t>
  </si>
  <si>
    <t>{5661.19488862551, "V_Press_F"}, // 0.45%</t>
  </si>
  <si>
    <t>{5706.6207561334, "V_TacVest_blk_POLICE"}, // 0.45%</t>
  </si>
  <si>
    <t>{5750.43701055036, "B_AssaultPack_blk"}, // 0.44%</t>
  </si>
  <si>
    <t>{5794.25326496732, "B_AssaultPack_cbr"}, // 0.44%</t>
  </si>
  <si>
    <t>{5838.06951938428, "B_AssaultPack_dgtl"}, // 0.44%</t>
  </si>
  <si>
    <t>{5881.88577380124, "B_AssaultPack_khk"}, // 0.44%</t>
  </si>
  <si>
    <t>{5925.7020282182, "B_AssaultPack_mcamo"}, // 0.44%</t>
  </si>
  <si>
    <t>{5969.51828263516, "B_AssaultPack_rgr"}, // 0.44%</t>
  </si>
  <si>
    <t>{6013.33453705212, "B_AssaultPack_sgg"}, // 0.44%</t>
  </si>
  <si>
    <t>{6055.37999159758, "arifle_MXM_Black_F"}, // 0.42%</t>
  </si>
  <si>
    <t>{6097.42544614303, "arifle_MXM_F"}, // 0.42%</t>
  </si>
  <si>
    <t>{6138.98388770147, "U_B_CombatUniform_mcam_vest"}, // 0.42%</t>
  </si>
  <si>
    <t>{6180.54232925992, "U_B_CombatUniform_mcam_worn"}, // 0.42%</t>
  </si>
  <si>
    <t>{6222.10077081836, "U_B_CTRG_1"}, // 0.42%</t>
  </si>
  <si>
    <t>{6263.6592123768, "U_B_CTRG_2"}, // 0.42%</t>
  </si>
  <si>
    <t>{6305.21765393524, "U_I_CombatUniform"}, // 0.42%</t>
  </si>
  <si>
    <t>{6346.77609549368, "U_I_CombatUniform_shortsleeve"}, // 0.42%</t>
  </si>
  <si>
    <t>{6388.33453705212, "U_I_CombatUniform_tshirt"}, // 0.42%</t>
  </si>
  <si>
    <t>{6429.89297861057, "U_O_OfficerUniform_ocamo"}, // 0.42%</t>
  </si>
  <si>
    <t>{6471.45142016901, "U_O_CombatUniform_ocamo"}, // 0.42%</t>
  </si>
  <si>
    <t>{6513.00986172745, "U_O_CombatUniform_oucamo"}, // 0.42%</t>
  </si>
  <si>
    <t>{6554.56830328589, "U_B_CombatUniform_mcam_tshirt"}, // 0.42%</t>
  </si>
  <si>
    <t>{6596.12674484433, "U_B_SpecopsUniform_sgg"}, // 0.42%</t>
  </si>
  <si>
    <t>{6637.68518640277, "U_O_SpecopsUniform_blk"}, // 0.42%</t>
  </si>
  <si>
    <t>{6679.24362796122, "U_O_SpecopsUniform_ocamo"}, // 0.42%</t>
  </si>
  <si>
    <t>{6720.80206951966, "U_I_G_Story_Protagonist_F"}, // 0.42%</t>
  </si>
  <si>
    <t>{6762.3605110781, "U_B_survival_uniform"}, // 0.42%</t>
  </si>
  <si>
    <t>{6803.91895263654, "U_I_OfficerUniform"}, // 0.42%</t>
  </si>
  <si>
    <t>{6845.47739419498, "U_B_CombatUniform_mcam"}, // 0.42%</t>
  </si>
  <si>
    <t>{6887.03583575343, "U_B_CTRG_3"}, // 0.42%</t>
  </si>
  <si>
    <t>{6927.85216228404, "FlareGreen_F"}, // 0.41%</t>
  </si>
  <si>
    <t>{6968.66848881465, "FlareYellow_F"}, // 0.41%</t>
  </si>
  <si>
    <t>{7009.48481534526, "FlareWhite_F"}, // 0.41%</t>
  </si>
  <si>
    <t>{7050.30114187587, "FlareRed_F"}, // 0.41%</t>
  </si>
  <si>
    <t>{7091.11746840649, "Chemlight_red"}, // 0.41%</t>
  </si>
  <si>
    <t>{7131.9337949371, "Chemlight_green"}, // 0.41%</t>
  </si>
  <si>
    <t>{7172.75012146771, "Chemlight_blue"}, // 0.41%</t>
  </si>
  <si>
    <t>{7212.75012146771, "Exile_Item_ThermalScannerPro"}, // 0.40%</t>
  </si>
  <si>
    <t>{7252.75012146771, "Exile_Item_InstaDoc"}, // 0.40%</t>
  </si>
  <si>
    <t>{7288.08581051365, "B_FieldPack_blk"}, // 0.35%</t>
  </si>
  <si>
    <t>{7323.42149955958, "B_FieldPack_cbr"}, // 0.35%</t>
  </si>
  <si>
    <t>{7358.75718860552, "B_FieldPack_ocamo"}, // 0.35%</t>
  </si>
  <si>
    <t>{7394.09287765145, "B_FieldPack_oucamo"}, // 0.35%</t>
  </si>
  <si>
    <t>{7428.87548634711, "3Rnd_HE_Grenade_shell"}, // 0.35%</t>
  </si>
  <si>
    <t>{7463.4700809417, "H_HelmetB_light_grass"}, // 0.35%</t>
  </si>
  <si>
    <t>{7498.0646755363, "H_HelmetB_light_sand"}, // 0.35%</t>
  </si>
  <si>
    <t>{7532.65927013089, "H_HelmetB_light_snakeskin"}, // 0.35%</t>
  </si>
  <si>
    <t>{7567.25386472549, "H_HelmetB_light"}, // 0.35%</t>
  </si>
  <si>
    <t>{7601.84845932008, "H_HelmetB_light_desert"}, // 0.35%</t>
  </si>
  <si>
    <t>{7636.44305391468, "H_HelmetB_light_black"}, // 0.35%</t>
  </si>
  <si>
    <t>{7670.53396300559, "srifle_EBR_F"}, // 0.34%</t>
  </si>
  <si>
    <t>{7700.21594180417, "B_TacticalPack_mcamo"}, // 0.30%</t>
  </si>
  <si>
    <t>{7729.89792060276, "B_TacticalPack_oli"}, // 0.30%</t>
  </si>
  <si>
    <t>{7759.57989940135, "B_TacticalPack_blk"}, // 0.30%</t>
  </si>
  <si>
    <t>{7789.26187819993, "B_TacticalPack_rgr"}, // 0.30%</t>
  </si>
  <si>
    <t>{7818.94385699852, "B_TacticalPack_ocamo"}, // 0.30%</t>
  </si>
  <si>
    <t>{7847.51528556995, "IEDUrbanSmall_Remote_Mag"}, // 0.29%</t>
  </si>
  <si>
    <t>{7876.08671414138, "IEDLandSmall_Remote_Mag"}, // 0.29%</t>
  </si>
  <si>
    <t>{7902.75338080804, "U_O_FullGhillie_sard"}, // 0.27%</t>
  </si>
  <si>
    <t>{7929.42004747471, "U_O_FullGhillie_lsh"}, // 0.27%</t>
  </si>
  <si>
    <t>{7956.08671414138, "U_B_FullGhillie_ard"}, // 0.27%</t>
  </si>
  <si>
    <t>{7982.75338080805, "U_I_FullGhillie_sard"}, // 0.27%</t>
  </si>
  <si>
    <t>{8009.42004747471, "U_I_FullGhillie_lsh"}, // 0.27%</t>
  </si>
  <si>
    <t>{8036.08671414138, "U_I_FullGhillie_ard"}, // 0.27%</t>
  </si>
  <si>
    <t>{8062.75338080805, "U_B_FullGhillie_sard"}, // 0.27%</t>
  </si>
  <si>
    <t>{8089.42004747471, "U_B_FullGhillie_lsh"}, // 0.27%</t>
  </si>
  <si>
    <t>{8116.08671414138, "U_O_FullGhillie_ard"}, // 0.27%</t>
  </si>
  <si>
    <t>{8142.22307777774, "srifle_DMR_04_Tan_F"}, // 0.26%</t>
  </si>
  <si>
    <t>{8168.35944141411, "srifle_DMR_04_F"}, // 0.26%</t>
  </si>
  <si>
    <t>{8194.33346738813, "muzzle_snds_338_green"}, // 0.26%</t>
  </si>
  <si>
    <t>{8220.30749336216, "muzzle_snds_338_sand"}, // 0.26%</t>
  </si>
  <si>
    <t>{8246.28151933619, "muzzle_snds_93mmg"}, // 0.26%</t>
  </si>
  <si>
    <t>{8272.25554531021, "muzzle_snds_93mmg_tan"}, // 0.26%</t>
  </si>
  <si>
    <t>{8298.22957128424, "muzzle_snds_338_black"}, // 0.26%</t>
  </si>
  <si>
    <t>{8324.17551723019, "H_HelmetB_black"}, // 0.26%</t>
  </si>
  <si>
    <t>{8350.12146317613, "H_HelmetB_camo"}, // 0.26%</t>
  </si>
  <si>
    <t>{8376.06740912208, "H_HelmetB_desert"}, // 0.26%</t>
  </si>
  <si>
    <t>{8402.01335506803, "H_HelmetB_grass"}, // 0.26%</t>
  </si>
  <si>
    <t>{8427.95930101397, "H_HelmetB_paint"}, // 0.26%</t>
  </si>
  <si>
    <t>{8453.90524695992, "H_HelmetB_plain_blk"}, // 0.26%</t>
  </si>
  <si>
    <t>{8479.85119290587, "H_HelmetB_sand"}, // 0.26%</t>
  </si>
  <si>
    <t>{8505.79713885181, "H_HelmetB_snakeskin"}, // 0.26%</t>
  </si>
  <si>
    <t>{8531.74308479776, "H_HelmetIA_net"}, // 0.26%</t>
  </si>
  <si>
    <t>{8557.68903074371, "H_HelmetIA"}, // 0.26%</t>
  </si>
  <si>
    <t>{8583.63497668965, "H_HelmetIA_camo"}, // 0.26%</t>
  </si>
  <si>
    <t>{8609.5809226356, "H_HelmetB"}, // 0.26%</t>
  </si>
  <si>
    <t>{8634.7777730293, "MMG_01_hex_F"}, // 0.25%</t>
  </si>
  <si>
    <t>{8659.974623423, "MMG_01_tan_F"}, // 0.25%</t>
  </si>
  <si>
    <t>{8682.68755717695, "V_PlateCarrier1_blk"}, // 0.23%</t>
  </si>
  <si>
    <t>{8705.40049093089, "V_PlateCarrierIA1_dgtl"}, // 0.23%</t>
  </si>
  <si>
    <t>{8728.11342468483, "V_PlateCarrier1_rgr"}, // 0.23%</t>
  </si>
  <si>
    <t>Stun Grenade</t>
  </si>
  <si>
    <t>{8750.82635843877, "V_PlateCarrierL_CTRG"}, // 0.23%</t>
  </si>
  <si>
    <t>rhs_mag_mk84</t>
  </si>
  <si>
    <t>{8771.60557921799, "optic_DMS"}, // 0.21%</t>
  </si>
  <si>
    <t>{8792.0137424833, "UGL_FlareRed_F"}, // 0.20%</t>
  </si>
  <si>
    <t>{8812.42190574861, "UGL_FlareWhite_F"}, // 0.20%</t>
  </si>
  <si>
    <t>{8832.83006901391, "UGL_FlareYellow_F"}, // 0.20%</t>
  </si>
  <si>
    <t>{8853.23823227922, "UGL_FlareGreen_F"}, // 0.20%</t>
  </si>
  <si>
    <t>{8873.42750672717, "V_PlateCarrierH_CTRG"}, // 0.20%</t>
  </si>
  <si>
    <t>{8893.61678117512, "V_PlateCarrierIA2_dgtl"}, // 0.20%</t>
  </si>
  <si>
    <t>GP25 HE Grenade</t>
  </si>
  <si>
    <t>rhs_VOG25</t>
  </si>
  <si>
    <t>{8913.80605562307, "V_PlateCarrier3_rgr"}, // 0.20%</t>
  </si>
  <si>
    <t>{8933.99533007102, "V_PlateCarrier2_rgr"}, // 0.20%</t>
  </si>
  <si>
    <t>{8953.04294911864, "IEDLandBig_Remote_Mag"}, // 0.19%</t>
  </si>
  <si>
    <t>{8972.09056816626, "SatchelCharge_Remote_Mag"}, // 0.19%</t>
  </si>
  <si>
    <t>GP25 HE Bouncing Grenade</t>
  </si>
  <si>
    <t>{8991.13818721388, "IEDUrbanBig_Remote_Mag"}, // 0.19%</t>
  </si>
  <si>
    <t>rhs_VOG25P</t>
  </si>
  <si>
    <t>{9009.3200053957, "srifle_DMR_06_camo_F"}, // 0.18%</t>
  </si>
  <si>
    <t>{9027.50182357751, "srifle_DMR_06_olive_F"}, // 0.18%</t>
  </si>
  <si>
    <t>{9044.89312792534, "O_IR_Grenade"}, // 0.17%</t>
  </si>
  <si>
    <t>{9062.28443227317, "I_IR_Grenade"}, // 0.17%</t>
  </si>
  <si>
    <t>{9079.67573662099, "B_IR_Grenade"}, // 0.17%</t>
  </si>
  <si>
    <t>GP25 Thermobaric Grenade</t>
  </si>
  <si>
    <t>rhs_VG40TB</t>
  </si>
  <si>
    <t>{9096.97303391829, "H_PilotHelmetFighter_I"}, // 0.17%</t>
  </si>
  <si>
    <t>{9114.27033121558, "H_PilotHelmetFighter_O"}, // 0.17%</t>
  </si>
  <si>
    <t>{9131.56762851288, "H_PilotHelmetHeli_B"}, // 0.17%</t>
  </si>
  <si>
    <t>{9148.86492581018, "H_PilotHelmetFighter_B"}, // 0.17%</t>
  </si>
  <si>
    <t>{9166.16222310747, "H_PilotHelmetHeli_I"}, // 0.17%</t>
  </si>
  <si>
    <t>GP25 Stun Grenade</t>
  </si>
  <si>
    <t>rhs_VG40SZ</t>
  </si>
  <si>
    <t>{9183.45952040477, "H_PilotHelmetHeli_O"}, // 0.17%</t>
  </si>
  <si>
    <t>{9200.42065114682, "B_Kitbag_sgg"}, // 0.17%</t>
  </si>
  <si>
    <t>{9217.38178188887, "B_Kitbag_cbr"}, // 0.17%</t>
  </si>
  <si>
    <t>{9234.34291263092, "B_Bergen_mcamo"}, // 0.17%</t>
  </si>
  <si>
    <t>M203 HE Grenade</t>
  </si>
  <si>
    <t>{9251.30404337297, "B_Bergen_rgr"}, // 0.17%</t>
  </si>
  <si>
    <t>rhs_mag_M441_HE</t>
  </si>
  <si>
    <t>{9268.26517411502, "B_Bergen_sgg"}, // 0.17%</t>
  </si>
  <si>
    <t>{9285.22630485707, "B_Kitbag_mcamo"}, // 0.17%</t>
  </si>
  <si>
    <t>{9302.18743559911, "B_Bergen_blk"}, // 0.17%</t>
  </si>
  <si>
    <t>{9317.77185118353, "optic_KHS_tan"}, // 0.16%</t>
  </si>
  <si>
    <t>M203 HEDP Grenade</t>
  </si>
  <si>
    <t>{9333.35626676795, "optic_KHS_old"}, // 0.16%</t>
  </si>
  <si>
    <t>rhs_mag_M443_HEDP</t>
  </si>
  <si>
    <t>{9348.94068235236, "optic_SOS"}, // 0.16%</t>
  </si>
  <si>
    <t>{9364.52509793678, "optic_KHS_blk"}, // 0.16%</t>
  </si>
  <si>
    <t>{9380.10951352119, "optic_AMS_snd"}, // 0.16%</t>
  </si>
  <si>
    <t>{9395.69392910561, "optic_AMS_khk"}, // 0.16%</t>
  </si>
  <si>
    <t>M203 Stun Grenade</t>
  </si>
  <si>
    <t>rhs_mag_m4009</t>
  </si>
  <si>
    <t>{9411.27834469002, "optic_KHS_hex"}, // 0.16%</t>
  </si>
  <si>
    <t>{9426.86276027444, "optic_AMS"}, // 0.16%</t>
  </si>
  <si>
    <t>{9442.0047161104, "V_PlateCarrierSpec_rgr"}, // 0.15%</t>
  </si>
  <si>
    <t>{9457.14667194636, "V_PlateCarrierSpec_mtp"}, // 0.15%</t>
  </si>
  <si>
    <t>{9472.28862778233, "V_PlateCarrierSpec_blk"}, // 0.15%</t>
  </si>
  <si>
    <t>{9486.4229034007, "B_Carryall_cbr"}, // 0.14%</t>
  </si>
  <si>
    <t>{9500.55717901908, "B_Carryall_khk"}, // 0.14%</t>
  </si>
  <si>
    <t>HARDWARE</t>
  </si>
  <si>
    <t>{9514.69145463745, "B_Carryall_mcamo"}, // 0.14%</t>
  </si>
  <si>
    <t>{9528.82573025583, "B_Carryall_ocamo"}, // 0.14%</t>
  </si>
  <si>
    <t>{9542.9600058742, "B_Carryall_oli"}, // 0.14%</t>
  </si>
  <si>
    <t>{9557.09428149257, "B_Carryall_oucamo"}, // 0.14%</t>
  </si>
  <si>
    <t>{9570.06725446555, "H_HelmetCrew_I"}, // 0.13%</t>
  </si>
  <si>
    <t>{9583.04022743852, "H_HelmetO_oucamo"}, // 0.13%</t>
  </si>
  <si>
    <t>{9596.01320041149, "H_HelmetO_ocamo"}, // 0.13%</t>
  </si>
  <si>
    <t>{9608.98617338447, "H_HelmetSpecB"}, // 0.13%</t>
  </si>
  <si>
    <t>{9621.95914635744, "H_HelmetSpecB_paint1"}, // 0.13%</t>
  </si>
  <si>
    <t>{9634.93211933041, "H_HelmetSpecB_blk"}, // 0.13%</t>
  </si>
  <si>
    <t>{9647.90509230339, "H_HelmetCrew_B"}, // 0.13%</t>
  </si>
  <si>
    <t>{9660.87806527636, "H_HelmetSpecB_paint2"}, // 0.13%</t>
  </si>
  <si>
    <t>{9673.85103824934, "H_HelmetCrew_O"}, // 0.13%</t>
  </si>
  <si>
    <t>{9686.44946344619, "MMG_02_black_F"}, // 0.13%</t>
  </si>
  <si>
    <t>{9699.04788864304, "MMG_02_camo_F"}, // 0.13%</t>
  </si>
  <si>
    <t>{9711.64631383989, "MMG_02_sand_F"}, // 0.13%</t>
  </si>
  <si>
    <t>{9723.00995020352, "srifle_DMR_05_hex_F"}, // 0.11%</t>
  </si>
  <si>
    <t>{9734.37358656716, "srifle_DMR_05_tan_f"}, // 0.11%</t>
  </si>
  <si>
    <t>{9745.7372229308, "srifle_DMR_05_blk_F"}, // 0.11%</t>
  </si>
  <si>
    <t>{9756.12683332041, "optic_Nightstalker"}, // 0.10%</t>
  </si>
  <si>
    <t>{9766.51644371002, "Exile_Uniform_Woodland"}, // 0.10%</t>
  </si>
  <si>
    <t>{9776.90605409963, "optic_LRPS"}, // 0.10%</t>
  </si>
  <si>
    <t>{9787.1333268269, "srifle_DMR_02_sniper_F"}, // 0.10%</t>
  </si>
  <si>
    <t>{9797.36059955417, "srifle_DMR_02_F"}, // 0.10%</t>
  </si>
  <si>
    <t>{9807.58787228144, "srifle_DMR_02_camo_F"}, // 0.10%</t>
  </si>
  <si>
    <t>{9816.23652093009, "H_HelmetLeaderO_ocamo"}, // 0.09%</t>
  </si>
  <si>
    <t>{9824.88516957874, "H_HelmetSpecO_ocamo"}, // 0.09%</t>
  </si>
  <si>
    <t>{9833.53381822739, "H_HelmetSpecO_blk"}, // 0.09%</t>
  </si>
  <si>
    <t>{9842.18246687603, "H_CrewHelmetHeli_B"}, // 0.09%</t>
  </si>
  <si>
    <t>{9850.83111552468, "H_CrewHelmetHeli_I"}, // 0.09%</t>
  </si>
  <si>
    <t>{9859.47976417333, "H_CrewHelmetHeli_O"}, // 0.09%</t>
  </si>
  <si>
    <t>{9868.12841282198, "H_HelmetLeaderO_oucamo"}, // 0.09%</t>
  </si>
  <si>
    <t>{9876.2916781281, "3Rnd_UGL_FlareYellow_F"}, // 0.08%</t>
  </si>
  <si>
    <t>Exile_Item_SafeKit</t>
  </si>
  <si>
    <t>{9884.45494343422, "3Rnd_UGL_FlareWhite_F"}, // 0.08%</t>
  </si>
  <si>
    <t>{9892.61820874035, "3Rnd_UGL_FlareGreen_F"}, // 0.08%</t>
  </si>
  <si>
    <t>{9900.78147404647, "3Rnd_UGL_FlareRed_F"}, // 0.08%</t>
  </si>
  <si>
    <t>Exile_Item_CodeLock</t>
  </si>
  <si>
    <t>{9908.35245196445, "V_PlateCarrierGL_rgr"}, // 0.08%</t>
  </si>
  <si>
    <t>{9915.92342988243, "V_PlateCarrierGL_blk"}, // 0.08%</t>
  </si>
  <si>
    <t>{9923.49440780041, "V_PlateCarrierIAGL_dgtl"}, // 0.08%</t>
  </si>
  <si>
    <t>{9931.0653857184, "V_PlateCarrierIAGL_oli"}, // 0.08%</t>
  </si>
  <si>
    <t>{9938.63636363638, "V_PlateCarrierGL_mtp"}, // 0.08%</t>
  </si>
  <si>
    <t>{9945.45454545456, "srifle_DMR_03_F"}, // 0.07%</t>
  </si>
  <si>
    <t>{9952.27272727274, "srifle_DMR_03_tan_F"}, // 0.07%</t>
  </si>
  <si>
    <t>{9959.09090909092, "srifle_DMR_03_multicam_F"}, // 0.07%</t>
  </si>
  <si>
    <t>{9965.9090909091, "srifle_DMR_03_woodland_F"}, // 0.07%</t>
  </si>
  <si>
    <t>{9972.72727272729, "srifle_LRR_F"}, // 0.07%</t>
  </si>
  <si>
    <t>{9979.54545454547, "srifle_LRR_camo_F"}, // 0.07%</t>
  </si>
  <si>
    <t>{9986.36363636365, "srifle_GM6_F"}, // 0.07%</t>
  </si>
  <si>
    <t>{9993.18181818183, "srifle_DMR_03_khaki_F"}, // 0.07%</t>
  </si>
  <si>
    <t>{10000, "srifle_GM6_camo_F"} // 0.07%</t>
  </si>
  <si>
    <t>TOOLS</t>
  </si>
  <si>
    <t>Exile_Item_Matches</t>
  </si>
  <si>
    <t xml:space="preserve">  U_IG_leader</t>
  </si>
  <si>
    <t xml:space="preserve">  optic_KHS_hex</t>
  </si>
  <si>
    <t xml:space="preserve">  optic_KHS_old</t>
  </si>
  <si>
    <t xml:space="preserve">  U_IG_Guerilla2_2</t>
  </si>
  <si>
    <t xml:space="preserve">  5Rnd_127x108_Mag</t>
  </si>
  <si>
    <t xml:space="preserve">  optic_AMS_snd</t>
  </si>
  <si>
    <t xml:space="preserve">  10Rnd_93x64_DMR_05_Mag</t>
  </si>
  <si>
    <t xml:space="preserve">  30Rnd_45ACP_Mag_SMG_01_Tracer_Green</t>
  </si>
  <si>
    <t xml:space="preserve">  srifle_DMR_06_camo_F</t>
  </si>
  <si>
    <t>FOOD</t>
  </si>
  <si>
    <t xml:space="preserve">  srifle_DMR_03_multicam_F</t>
  </si>
  <si>
    <t xml:space="preserve">  srifle_EBR_F</t>
  </si>
  <si>
    <t xml:space="preserve">  optic_AMS</t>
  </si>
  <si>
    <t xml:space="preserve">  7Rnd_408_Mag</t>
  </si>
  <si>
    <t xml:space="preserve">  U_BG_Guerilla3_1</t>
  </si>
  <si>
    <t xml:space="preserve">  U_IG_Guerilla3_1</t>
  </si>
  <si>
    <t>class Windmill</t>
  </si>
  <si>
    <t>count = 102;</t>
  </si>
  <si>
    <t>half = 8894.42751457854;</t>
  </si>
  <si>
    <t>halfIndex = 51;</t>
  </si>
  <si>
    <t>{533.333333333333, "Exile_Item_PlasticBottleEmpty"}, // 5.33%</t>
  </si>
  <si>
    <t>{1066.66666666667, "Exile_Item_Can_Empty"}, // 5.33%</t>
  </si>
  <si>
    <t>{1600, "Exile_Item_ToiletPaper"}, // 5.33%</t>
  </si>
  <si>
    <t>{2075.86206896552, "30Rnd_45ACP_Mag_SMG_01"}, // 4.76%</t>
  </si>
  <si>
    <t>{2551.72413793103, "30Rnd_9x21_Mag"}, // 4.76%</t>
  </si>
  <si>
    <t>{2851.72413793103, "optic_ACO_grn_smg"}, // 3.00%</t>
  </si>
  <si>
    <t>{3151.72413793103, "optic_Holosight_smg"}, // 3.00%</t>
  </si>
  <si>
    <t>{3451.72413793103, "optic_Aco_smg"}, // 3.00%</t>
  </si>
  <si>
    <t>{3732.425892317, "SMG_02_F"}, // 2.81%</t>
  </si>
  <si>
    <t>{4013.12764670296, "SMG_01_F"}, // 2.81%</t>
  </si>
  <si>
    <t>{4253.12764670296, "Exile_Item_Bandage"}, // 2.40%</t>
  </si>
  <si>
    <t>{4491.72413793103, "hgun_PDW2000_F"}, // 2.39%</t>
  </si>
  <si>
    <t>{4691.72413793103, "B_OutdoorPack_blk"}, // 2.00%</t>
  </si>
  <si>
    <t>{4891.72413793103, "B_OutdoorPack_tan"}, // 2.00%</t>
  </si>
  <si>
    <t>{5091.72413793103, "B_HuntingBackpack"}, // 2.00%</t>
  </si>
  <si>
    <t>{5291.72413793103, "B_OutdoorPack_blu"}, // 2.00%</t>
  </si>
  <si>
    <t>{5441.72413793103, "optic_ACO_grn"}, // 1.50%</t>
  </si>
  <si>
    <t>{5591.72413793103, "optic_Aco"}, // 1.50%</t>
  </si>
  <si>
    <t>{5719.72413793103, "U_IG_Guerilla1_1"}, // 1.28%</t>
  </si>
  <si>
    <t>{5847.72413793103, "U_IG_Guerilla2_3"}, // 1.28%</t>
  </si>
  <si>
    <t>{5975.72413793103, "U_IG_Guerilla2_1"}, // 1.28%</t>
  </si>
  <si>
    <t>{6103.72413793103, "U_BG_Guerilla2_3"}, // 1.28%</t>
  </si>
  <si>
    <t>{6231.72413793103, "U_IG_Guerilla2_2"}, // 1.28%</t>
  </si>
  <si>
    <t>{6359.72413793103, "U_BG_Guerilla2_2"}, // 1.28%</t>
  </si>
  <si>
    <t>{6487.72413793103, "U_BG_Guerilla1_1"}, // 1.28%</t>
  </si>
  <si>
    <t>{6615.72413793103, "U_BG_Guerrilla_6_1"}, // 1.28%</t>
  </si>
  <si>
    <t>{6743.72413793103, "U_BG_Guerilla2_1"}, // 1.28%</t>
  </si>
  <si>
    <t>{6863.72413793103, "Exile_Item_Vishpirin"}, // 1.20%</t>
  </si>
  <si>
    <t>{6976.99847421422, "10Rnd_762x54_Mag"}, // 1.13%</t>
  </si>
  <si>
    <t>{7090.27281049741, "10Rnd_762x51_Mag"}, // 1.13%</t>
  </si>
  <si>
    <t>{7194.62063658436, "HandGrenade"}, // 1.04%</t>
  </si>
  <si>
    <t>{7298.96846267132, "MiniGrenade"}, // 1.04%</t>
  </si>
  <si>
    <t>{7403.31628875828, "1Rnd_HE_Grenade_shell"}, // 1.04%</t>
  </si>
  <si>
    <t>{7507.21239265438, "muzzle_snds_B"}, // 1.04%</t>
  </si>
  <si>
    <t>{7606.32743690217, "10Rnd_338_Mag"}, // 0.99%</t>
  </si>
  <si>
    <t>{7698.36283513226, "10Rnd_127x54_Mag"}, // 0.92%</t>
  </si>
  <si>
    <t>{7790.39823336235, "10Rnd_93x64_DMR_05_Mag"}, // 0.92%</t>
  </si>
  <si>
    <t>{7875.73156669568, "U_I_G_resistanceLeader_F"}, // 0.85%</t>
  </si>
  <si>
    <t>{7961.06490002901, "U_BG_leader"}, // 0.85%</t>
  </si>
  <si>
    <t>{8046.39823336235, "U_IG_leader"}, // 0.85%</t>
  </si>
  <si>
    <t>{8131.35398557473, "20Rnd_762x51_Mag"}, // 0.85%</t>
  </si>
  <si>
    <t>{8216.30973778712, "7Rnd_408_Mag"}, // 0.85%</t>
  </si>
  <si>
    <t>{8299.06835847678, "30Rnd_45ACP_Mag_SMG_01_Tracer_Green"}, // 0.83%</t>
  </si>
  <si>
    <t>{8381.82697916644, "30Rnd_45ACP_Mag_SMG_01_Tracer_Yellow"}, // 0.83%</t>
  </si>
  <si>
    <t>{8464.58559985609, "30Rnd_45ACP_Mag_SMG_01_Tracer_Red"}, // 0.83%</t>
  </si>
  <si>
    <t>{8535.38206003308, "5Rnd_127x108_Mag"}, // 0.71%</t>
  </si>
  <si>
    <t>{8602.42751457854, "srifle_DMR_01_F"}, // 0.67%</t>
  </si>
  <si>
    <t>{8666.42751457854, "U_BG_Guerilla3_1"}, // 0.64%</t>
  </si>
  <si>
    <t>{8730.42751457854, "U_IG_Guerilla3_2"}, // 0.64%</t>
  </si>
  <si>
    <t>{8794.42751457854, "U_IG_Guerilla3_1"}, // 0.64%</t>
  </si>
  <si>
    <t>{8844.42751457854, "bipod_01_F_blk"}, // 0.50%</t>
  </si>
  <si>
    <t>{8894.42751457854, "bipod_01_F_mtp"}, // 0.50%</t>
  </si>
  <si>
    <t>{8944.42751457854, "bipod_01_F_snd"}, // 0.50%</t>
  </si>
  <si>
    <t>{8994.42751457854, "bipod_02_F_blk"}, // 0.50%</t>
  </si>
  <si>
    <t>{9044.42751457854, "bipod_03_F_blk"}, // 0.50%</t>
  </si>
  <si>
    <t>{9094.42751457854, "bipod_02_F_tan"}, // 0.50%</t>
  </si>
  <si>
    <t>{9144.42751457854, "bipod_02_F_hex"}, // 0.50%</t>
  </si>
  <si>
    <t>{9194.42751457854, "bipod_03_F_oli"}, // 0.50%</t>
  </si>
  <si>
    <t>{9243.98503670243, "5Rnd_127x108_APDS_Mag"}, // 0.50%</t>
  </si>
  <si>
    <t>{9286.03049124788, "arifle_MXM_F"}, // 0.42%</t>
  </si>
  <si>
    <t>{9328.07594579334, "arifle_MXM_Black_F"}, // 0.42%</t>
  </si>
  <si>
    <t>{9368.07594579334, "Exile_Item_InstaDoc"}, // 0.40%</t>
  </si>
  <si>
    <t>DRINKS</t>
  </si>
  <si>
    <t>{9402.85855448899, "3Rnd_HE_Grenade_shell"}, // 0.35%</t>
  </si>
  <si>
    <t>{9436.9494635799, "srifle_EBR_F"}, // 0.34%</t>
  </si>
  <si>
    <t>{9463.08582721626, "srifle_DMR_04_F"}, // 0.26%</t>
  </si>
  <si>
    <t>{9489.22219085263, "srifle_DMR_04_Tan_F"}, // 0.26%</t>
  </si>
  <si>
    <t>{9515.19621682665, "muzzle_snds_93mmg_tan"}, // 0.26%</t>
  </si>
  <si>
    <t>{9541.17024280068, "muzzle_snds_93mmg"}, // 0.26%</t>
  </si>
  <si>
    <t>{9567.14426877471, "muzzle_snds_338_sand"}, // 0.26%</t>
  </si>
  <si>
    <t>{9593.11829474873, "muzzle_snds_338_green"}, // 0.26%</t>
  </si>
  <si>
    <t>{9619.09232072276, "muzzle_snds_338_black"}, // 0.26%</t>
  </si>
  <si>
    <t>{9639.87154150198, "optic_DMS"}, // 0.21%</t>
  </si>
  <si>
    <t>{9658.0533596838, "srifle_DMR_06_olive_F"}, // 0.18%</t>
  </si>
  <si>
    <t>{9676.23517786562, "srifle_DMR_06_camo_F"}, // 0.18%</t>
  </si>
  <si>
    <t>{9693.62648221344, "O_IR_Grenade"}, // 0.17%</t>
  </si>
  <si>
    <t>{9711.01778656127, "B_IR_Grenade"}, // 0.17%</t>
  </si>
  <si>
    <t>{9728.4090909091, "I_IR_Grenade"}, // 0.17%</t>
  </si>
  <si>
    <t>{9743.99350649351, "optic_SOS"}, // 0.16%</t>
  </si>
  <si>
    <t>Exile_Item_PlasticBottleFreshWater</t>
  </si>
  <si>
    <t>{9759.57792207793, "optic_KHS_tan"}, // 0.16%</t>
  </si>
  <si>
    <t>{9775.16233766234, "optic_KHS_old"}, // 0.16%</t>
  </si>
  <si>
    <t>{9790.74675324676, "optic_KHS_blk"}, // 0.16%</t>
  </si>
  <si>
    <t>{9806.33116883117, "optic_AMS_khk"}, // 0.16%</t>
  </si>
  <si>
    <t>{9821.91558441559, "optic_AMS"}, // 0.16%</t>
  </si>
  <si>
    <t>{9837.5, "optic_AMS_snd"}, // 0.16%</t>
  </si>
  <si>
    <t>Exile_Item_Beer</t>
  </si>
  <si>
    <t>{9853.08441558442, "optic_KHS_hex"}, // 0.16%</t>
  </si>
  <si>
    <t>{9864.44805194805, "srifle_DMR_05_hex_F"}, // 0.11%</t>
  </si>
  <si>
    <t>{9875.81168831169, "srifle_DMR_05_blk_F"}, // 0.11%</t>
  </si>
  <si>
    <t>{9887.17532467533, "srifle_DMR_05_tan_f"}, // 0.11%</t>
  </si>
  <si>
    <t>{9897.56493506493, "optic_LRPS"}, // 0.10%</t>
  </si>
  <si>
    <t>{9907.95454545454, "optic_Nightstalker"}, // 0.10%</t>
  </si>
  <si>
    <t>{9918.18181818182, "srifle_DMR_02_F"}, // 0.10%</t>
  </si>
  <si>
    <t>{9928.40909090909, "srifle_DMR_02_camo_F"}, // 0.10%</t>
  </si>
  <si>
    <t>{9938.63636363636, "srifle_DMR_02_sniper_F"}, // 0.10%</t>
  </si>
  <si>
    <t>{9945.45454545454, "srifle_GM6_camo_F"}, // 0.07%</t>
  </si>
  <si>
    <t>{9952.27272727272, "srifle_DMR_03_tan_F"}, // 0.07%</t>
  </si>
  <si>
    <t>{9959.09090909091, "srifle_GM6_F"}, // 0.07%</t>
  </si>
  <si>
    <t>{9965.90909090909, "srifle_LRR_camo_F"}, // 0.07%</t>
  </si>
  <si>
    <t>{9972.72727272727, "srifle_LRR_F"}, // 0.07%</t>
  </si>
  <si>
    <t>{9979.54545454545, "srifle_DMR_03_khaki_F"}, // 0.07%</t>
  </si>
  <si>
    <t>{9986.36363636363, "srifle_DMR_03_F"}, // 0.07%</t>
  </si>
  <si>
    <t>{9993.18181818182, "srifle_DMR_03_multicam_F"}, // 0.07%</t>
  </si>
  <si>
    <t>{10000, "srifle_DMR_03_woodland_F"} // 0.07%</t>
  </si>
  <si>
    <t>FIRST_AID</t>
  </si>
  <si>
    <t>InstaDoc</t>
  </si>
  <si>
    <t>Vishpirin</t>
  </si>
  <si>
    <t>Bandage</t>
  </si>
  <si>
    <t>Medikit</t>
  </si>
  <si>
    <t>NAVIGATION</t>
  </si>
  <si>
    <t>ItemMap</t>
  </si>
  <si>
    <t>ItemCompass</t>
  </si>
  <si>
    <t>class NormalBarracks</t>
  </si>
  <si>
    <t>Exile_Item_XM8</t>
  </si>
  <si>
    <t>MineDetector</t>
  </si>
  <si>
    <t>UAVS</t>
  </si>
  <si>
    <t>I_UavTerminal</t>
  </si>
  <si>
    <t>I_UAV_01_backpack_F</t>
  </si>
  <si>
    <t>BIKES</t>
  </si>
  <si>
    <t>Exile_Bike_OldBike</t>
  </si>
  <si>
    <t>Exile_Bike_MountainBike</t>
  </si>
  <si>
    <t>CARS</t>
  </si>
  <si>
    <t>Exile_Car_Kart_Black</t>
  </si>
  <si>
    <t>Skin</t>
  </si>
  <si>
    <t>Exile_Car_Kart_BluKing</t>
  </si>
  <si>
    <t>Exile_Car_Kart_RedStone</t>
  </si>
  <si>
    <t>Exile_Car_Kart_Vrana</t>
  </si>
  <si>
    <t>Exile_Car_Kart_Green</t>
  </si>
  <si>
    <t>Exile_Car_Kart_Blue</t>
  </si>
  <si>
    <t>Exile_Car_Kart_Orange</t>
  </si>
  <si>
    <t>Exile_Car_Kart_White</t>
  </si>
  <si>
    <t>Exile_Car_Kart_Yellow</t>
  </si>
  <si>
    <t>Exile_Bike_QuadBike_Black</t>
  </si>
  <si>
    <t>Exile_Bike_QuadBike_Blue</t>
  </si>
  <si>
    <t>Exile_Bike_QuadBike_Red</t>
  </si>
  <si>
    <t>Exile_Bike_QuadBike_White</t>
  </si>
  <si>
    <t>Exile_Bike_QuadBike_Nato</t>
  </si>
  <si>
    <t>Exile_Bike_QuadBike_Csat</t>
  </si>
  <si>
    <t>Exile_Bike_QuadBike_Fia</t>
  </si>
  <si>
    <t>Exile_Bike_QuadBike_Guerilla01</t>
  </si>
  <si>
    <t>Exile_Bike_QuadBike_Guerilla02</t>
  </si>
  <si>
    <t>Exile_Car_Lada_Green</t>
  </si>
  <si>
    <t>Exile_Car_Lada_Taxi</t>
  </si>
  <si>
    <t>Exile_Car_Lada_Red</t>
  </si>
  <si>
    <t>Exile_Car_Lada_White</t>
  </si>
  <si>
    <t>Exile_Car_Lada_Hipster</t>
  </si>
  <si>
    <t>Exile_Car_Volha_White</t>
  </si>
  <si>
    <t>Exile_Car_Volha_Blue</t>
  </si>
  <si>
    <t>Exile_Car_Volha_Black</t>
  </si>
  <si>
    <t>Exile_Car_Hatchback_Rusty1</t>
  </si>
  <si>
    <t>Exile_Car_Hatchback_Rusty2</t>
  </si>
  <si>
    <t>Exile_Car_Hatchback_Rusty3</t>
  </si>
  <si>
    <t>Exile_Car_Hatchback_Beige</t>
  </si>
  <si>
    <t>Exile_Car_Hatchback_Green</t>
  </si>
  <si>
    <t>Exile_Car_Hatchback_Blue</t>
  </si>
  <si>
    <t>Exile_Car_Hatchback_BlueCustom</t>
  </si>
  <si>
    <t>Exile_Car_Hatchback_BeigeCustom</t>
  </si>
  <si>
    <t>Exile_Car_Hatchback_Yellow</t>
  </si>
  <si>
    <t>Exile_Car_Hatchback_Grey</t>
  </si>
  <si>
    <t>Exile_Car_Hatchback_Black</t>
  </si>
  <si>
    <t>Exile_Car_Hatchback_Dark</t>
  </si>
  <si>
    <t>Exile_Car_Hatchback_Sport_Red</t>
  </si>
  <si>
    <t>Exile_Car_Hatchback_Sport_Blue</t>
  </si>
  <si>
    <t>Exile_Car_Hatchback_Sport_Orange</t>
  </si>
  <si>
    <t>Quality Modifer</t>
  </si>
  <si>
    <t>Exile_Car_Hatchback_Sport_White</t>
  </si>
  <si>
    <t>1 = available at traders</t>
  </si>
  <si>
    <t>* This is what we do, although you can use the quality modifer however you want. If you change the quality, it will affect pricing in some of the classes.</t>
  </si>
  <si>
    <t>Exile_Car_Hatchback_Sport_Beige</t>
  </si>
  <si>
    <t>2 = available at black market trader or roaming trader</t>
  </si>
  <si>
    <t>* The simplest way to adjust these prices is to start by raising or lowering the "Base" number. If you know what you're doing, you can also modify</t>
  </si>
  <si>
    <t>Exile_Car_Hatchback_Sport_Green</t>
  </si>
  <si>
    <t>3 = not available at a trader, must be found</t>
  </si>
  <si>
    <t>the formula directly and then copy and paste it to a particular class.</t>
  </si>
  <si>
    <t>Exile_Car_SUV_Red</t>
  </si>
  <si>
    <t>NOTE: Download this or make a copy so you can manipulate the data.</t>
  </si>
  <si>
    <t>Exile_Car_SUV_Black</t>
  </si>
  <si>
    <t>Base</t>
  </si>
  <si>
    <t>Name</t>
  </si>
  <si>
    <t>Classname</t>
  </si>
  <si>
    <t>Capacity</t>
  </si>
  <si>
    <t>Exile_Car_SUV_Grey</t>
  </si>
  <si>
    <t>Exile_Car_SUV_Orange</t>
  </si>
  <si>
    <t>class B_AssaultPack_blk</t>
  </si>
  <si>
    <t>Exile_Car_SUVXL_Black</t>
  </si>
  <si>
    <t>Exile_Car_Offroad_Rusty1</t>
  </si>
  <si>
    <t>Exile_Car_Offroad_Rusty2</t>
  </si>
  <si>
    <t>class B_AssaultPack_cbr</t>
  </si>
  <si>
    <t>Exile_Car_Offroad_Rusty3</t>
  </si>
  <si>
    <t>Exile_Car_Offroad_Red</t>
  </si>
  <si>
    <t>class B_AssaultPack_dgtl</t>
  </si>
  <si>
    <t>Exile_Car_Offroad_Beige</t>
  </si>
  <si>
    <t>class B_AssaultPack_khk</t>
  </si>
  <si>
    <t>class B_AssaultPack_mcamo</t>
  </si>
  <si>
    <t>Exile_Car_Offroad_White</t>
  </si>
  <si>
    <t>class B_AssaultPack_rgr</t>
  </si>
  <si>
    <t>class B_AssaultPack_sgg</t>
  </si>
  <si>
    <t>Exile_Car_Offroad_Blue</t>
  </si>
  <si>
    <t>class B_FieldPack_blk</t>
  </si>
  <si>
    <t>class B_FieldPack_cbr</t>
  </si>
  <si>
    <t>Exile_Car_Offroad_DarkRed</t>
  </si>
  <si>
    <t>class B_FieldPack_ocamo</t>
  </si>
  <si>
    <t>class B_FieldPack_oucamo</t>
  </si>
  <si>
    <t>class B_TacticalPack_blk</t>
  </si>
  <si>
    <t>Exile_Car_Offroad_BlueCustom</t>
  </si>
  <si>
    <t>class B_TacticalPack_rgr</t>
  </si>
  <si>
    <t>Exile_Car_Offroad_Guerilla01</t>
  </si>
  <si>
    <t>class B_TacticalPack_ocamo</t>
  </si>
  <si>
    <t>Exile_Car_Offroad_Guerilla02</t>
  </si>
  <si>
    <t>class B_TacticalPack_mcamo</t>
  </si>
  <si>
    <t>Exile_Car_Offroad_Guerilla03</t>
  </si>
  <si>
    <t>class B_TacticalPack_oli</t>
  </si>
  <si>
    <t>class B_Kitbag_cbr</t>
  </si>
  <si>
    <t>Exile_Car_Offroad_Guerilla04</t>
  </si>
  <si>
    <t>class B_Kitbag_mcamo</t>
  </si>
  <si>
    <t>class B_Kitbag_sgg</t>
  </si>
  <si>
    <t>Exile_Car_Offroad_Guerilla05</t>
  </si>
  <si>
    <t>class B_Carryall_cbr</t>
  </si>
  <si>
    <t>class B_Carryall_khk</t>
  </si>
  <si>
    <t>Exile_Car_Offroad_Guerilla06</t>
  </si>
  <si>
    <t>class B_Carryall_mcamo</t>
  </si>
  <si>
    <t>class B_Carryall_ocamo</t>
  </si>
  <si>
    <t>Exile_Car_Offroad_Guerilla07</t>
  </si>
  <si>
    <t>class B_Carryall_oli</t>
  </si>
  <si>
    <t>class B_Carryall_oucamo</t>
  </si>
  <si>
    <t>Exile_Car_Offroad_Guerilla08</t>
  </si>
  <si>
    <t>class B_Bergen_blk</t>
  </si>
  <si>
    <t>class B_Bergen_mcamo</t>
  </si>
  <si>
    <t>Exile_Car_Offroad_Guerilla09</t>
  </si>
  <si>
    <t>class B_Bergen_rgr</t>
  </si>
  <si>
    <t>class B_Bergen_sgg</t>
  </si>
  <si>
    <t>Exile_Car_Offroad_Guerilla10</t>
  </si>
  <si>
    <t>class B_HuntingBackpack</t>
  </si>
  <si>
    <t>class B_OutdoorPack_blk</t>
  </si>
  <si>
    <t>Exile_Car_Offroad_Guerilla11</t>
  </si>
  <si>
    <t>class B_OutdoorPack_blu</t>
  </si>
  <si>
    <t>Exile_Car_Offroad_Guerilla12</t>
  </si>
  <si>
    <t>class B_OutdoorPack_tan</t>
  </si>
  <si>
    <t>class B_Parachute</t>
  </si>
  <si>
    <t>Exile_Car_Offroad_Repair_Civillian</t>
  </si>
  <si>
    <t>* Whatever you want for the parachute</t>
  </si>
  <si>
    <t>Exile_Car_Offroad_Repair_Red</t>
  </si>
  <si>
    <t>class V_Rangemaster_belt</t>
  </si>
  <si>
    <t>Exile_Car_Offroad_Repair_Beige</t>
  </si>
  <si>
    <t>Exile_Car_Offroad_Repair_White</t>
  </si>
  <si>
    <t>Exile_Car_Offroad_Repair_Blue</t>
  </si>
  <si>
    <t>Exile_Car_Offroad_Repair_DarkRed</t>
  </si>
  <si>
    <t>class V_BandollierB_blk</t>
  </si>
  <si>
    <t>class V_BandollierB_cbr</t>
  </si>
  <si>
    <t>Exile_Car_Offroad_Repair_BlueCustom</t>
  </si>
  <si>
    <t>class V_BandollierB_khk</t>
  </si>
  <si>
    <t>Exile_Car_Offroad_Repair_Guerilla01</t>
  </si>
  <si>
    <t>class V_BandollierB_oli</t>
  </si>
  <si>
    <t>class V_BandollierB_rgr</t>
  </si>
  <si>
    <t>Exile_Car_Offroad_Repair_Guerilla02</t>
  </si>
  <si>
    <t xml:space="preserve">class V_Chestrig_blk </t>
  </si>
  <si>
    <t>Exile_Car_Offroad_Repair_Guerilla03</t>
  </si>
  <si>
    <t xml:space="preserve">class V_Chestrig_khk </t>
  </si>
  <si>
    <t xml:space="preserve">class V_Chestrig_oli </t>
  </si>
  <si>
    <t>Exile_Car_Offroad_Repair_Guerilla04</t>
  </si>
  <si>
    <t>class V_Chestrig_rgr</t>
  </si>
  <si>
    <t>Exile_Car_Offroad_Repair_Guerilla05</t>
  </si>
  <si>
    <t>class V_HarnessO_brn</t>
  </si>
  <si>
    <t>class V_HarnessO_gry</t>
  </si>
  <si>
    <t>Exile_Car_Offroad_Repair_Guerilla06</t>
  </si>
  <si>
    <t>class V_HarnessOGL_brn</t>
  </si>
  <si>
    <t>class V_HarnessOGL_gry</t>
  </si>
  <si>
    <t>Exile_Car_Offroad_Repair_Guerilla07</t>
  </si>
  <si>
    <t>class V_HarnessOSpec_brn</t>
  </si>
  <si>
    <t>Exile_Car_Offroad_Repair_Guerilla08</t>
  </si>
  <si>
    <t>class V_HarnessOSpec_gry</t>
  </si>
  <si>
    <t>class V_Press_F</t>
  </si>
  <si>
    <t>Exile_Car_Offroad_Repair_Guerilla09</t>
  </si>
  <si>
    <t>class V_TacVest_blk</t>
  </si>
  <si>
    <t>class V_TacVest_blk_POLICE</t>
  </si>
  <si>
    <t>Exile_Car_Offroad_Repair_Guerilla10</t>
  </si>
  <si>
    <t>class V_TacVest_brn</t>
  </si>
  <si>
    <t>class V_TacVest_camo</t>
  </si>
  <si>
    <t>Exile_Car_Offroad_Repair_Guerilla11</t>
  </si>
  <si>
    <t>class V_TacVest_khk</t>
  </si>
  <si>
    <t>class V_TacVest_oli</t>
  </si>
  <si>
    <t>Exile_Car_Offroad_Repair_Guerilla12</t>
  </si>
  <si>
    <t>class V_TacVestCamo_khk</t>
  </si>
  <si>
    <t>class V_TacVestIR_blk</t>
  </si>
  <si>
    <t>Exile_Car_Van_Black</t>
  </si>
  <si>
    <t>class V_I_G_resistanceLeader_F</t>
  </si>
  <si>
    <t>Exile_Car_Van_White</t>
  </si>
  <si>
    <t>Exile_Car_Van_Red</t>
  </si>
  <si>
    <t xml:space="preserve">class V_PlateCarrier1_blk </t>
  </si>
  <si>
    <t>Exile_Car_Van_Guerilla01</t>
  </si>
  <si>
    <t xml:space="preserve">class V_PlateCarrier1_rgr </t>
  </si>
  <si>
    <t>Exile_Car_Van_Guerilla02</t>
  </si>
  <si>
    <t xml:space="preserve">class V_PlateCarrier2_rgr </t>
  </si>
  <si>
    <t xml:space="preserve">class V_PlateCarrier3_rgr </t>
  </si>
  <si>
    <t>Exile_Car_Van_Guerilla03</t>
  </si>
  <si>
    <t xml:space="preserve">class V_PlateCarrierGL_blk </t>
  </si>
  <si>
    <t xml:space="preserve">class V_PlateCarrierGL_mtp </t>
  </si>
  <si>
    <t>Exile_Car_Van_Guerilla04</t>
  </si>
  <si>
    <t xml:space="preserve">class V_PlateCarrierGL_rgr </t>
  </si>
  <si>
    <t xml:space="preserve">class V_PlateCarrierH_CTRG </t>
  </si>
  <si>
    <t>Exile_Car_Van_Guerilla05</t>
  </si>
  <si>
    <t xml:space="preserve">class V_PlateCarrierIA1_dgtl </t>
  </si>
  <si>
    <t xml:space="preserve">class V_PlateCarrierIA2_dgtl </t>
  </si>
  <si>
    <t>Exile_Car_Van_Guerilla06</t>
  </si>
  <si>
    <t xml:space="preserve">class V_PlateCarrierIAGL_dgtl </t>
  </si>
  <si>
    <t xml:space="preserve">class V_PlateCarrierIAGL_oli </t>
  </si>
  <si>
    <t>Exile_Car_Van_Guerilla07</t>
  </si>
  <si>
    <t xml:space="preserve">class V_PlateCarrierL_CTRG </t>
  </si>
  <si>
    <t>Exile_Car_Van_Guerilla08</t>
  </si>
  <si>
    <t xml:space="preserve">class V_PlateCarrierSpec_blk </t>
  </si>
  <si>
    <t xml:space="preserve">class V_PlateCarrierSpec_mtp </t>
  </si>
  <si>
    <t>rhs_tigr_vdv</t>
  </si>
  <si>
    <t xml:space="preserve">class V_PlateCarrierSpec_rgr </t>
  </si>
  <si>
    <t>Sort</t>
  </si>
  <si>
    <t>rhs_tigr_3camo_vdv</t>
  </si>
  <si>
    <t>rhs_tigr_ffv_vdv</t>
  </si>
  <si>
    <t xml:space="preserve">class H_Cap_blk </t>
  </si>
  <si>
    <t>rhs_tigr_ffv_3camo_vdv</t>
  </si>
  <si>
    <t>rhsusf_m1025_d</t>
  </si>
  <si>
    <t>rhsusf_m1025_w</t>
  </si>
  <si>
    <t xml:space="preserve">class H_Cap_blk_Raven </t>
  </si>
  <si>
    <t>rhsusf_m998_d_2dr</t>
  </si>
  <si>
    <t xml:space="preserve">class H_Cap_blu </t>
  </si>
  <si>
    <t>rhsusf_m998_w_2dr</t>
  </si>
  <si>
    <t xml:space="preserve">class H_Cap_brn_SPECOPS </t>
  </si>
  <si>
    <t xml:space="preserve">class H_Cap_grn </t>
  </si>
  <si>
    <t>rhsusf_m998_d_2dr_fulltop</t>
  </si>
  <si>
    <t xml:space="preserve">class H_Cap_headphones </t>
  </si>
  <si>
    <t>rhsusf_m998_w_2dr_fulltop</t>
  </si>
  <si>
    <t xml:space="preserve">class H_Cap_khaki_specops_UK </t>
  </si>
  <si>
    <t xml:space="preserve">class H_Cap_oli </t>
  </si>
  <si>
    <t>rhsusf_m998_d_4dr</t>
  </si>
  <si>
    <t xml:space="preserve">class H_Cap_press </t>
  </si>
  <si>
    <t xml:space="preserve">class H_Cap_red </t>
  </si>
  <si>
    <t xml:space="preserve">class H_Cap_tan </t>
  </si>
  <si>
    <t>rhsusf_m998_w_4dr</t>
  </si>
  <si>
    <t xml:space="preserve">class H_Cap_tan_specops_US </t>
  </si>
  <si>
    <t xml:space="preserve">class H_MilCap_blue </t>
  </si>
  <si>
    <t>rhsusf_m998_d_4dr_fulltop</t>
  </si>
  <si>
    <t xml:space="preserve">class H_MilCap_dgtl </t>
  </si>
  <si>
    <t xml:space="preserve">class H_MilCap_mcamo </t>
  </si>
  <si>
    <t xml:space="preserve">class H_MilCap_ocamo </t>
  </si>
  <si>
    <t xml:space="preserve">class H_MilCap_oucamo </t>
  </si>
  <si>
    <t>rhsusf_m998_w_4dr_fulltop</t>
  </si>
  <si>
    <t xml:space="preserve">class H_MilCap_rucamo </t>
  </si>
  <si>
    <t xml:space="preserve">class H_Watchcap_blk </t>
  </si>
  <si>
    <t xml:space="preserve">class H_Watchcap_camo </t>
  </si>
  <si>
    <t>rhs_uaz_open_vdv</t>
  </si>
  <si>
    <t xml:space="preserve">class H_Watchcap_khk </t>
  </si>
  <si>
    <t xml:space="preserve">class H_Watchcap_sgg </t>
  </si>
  <si>
    <t>class H_Bandanna_camo</t>
  </si>
  <si>
    <t>rhs_uaz_open_chdkz</t>
  </si>
  <si>
    <t>class H_Bandanna_cbr</t>
  </si>
  <si>
    <t>class H_Bandanna_gry</t>
  </si>
  <si>
    <t>rhs_uaz_vdv</t>
  </si>
  <si>
    <t>class H_Bandanna_khk</t>
  </si>
  <si>
    <t>class H_Bandanna_khk_hs</t>
  </si>
  <si>
    <t>RHS_UAZ_chdkz</t>
  </si>
  <si>
    <t>class H_Bandanna_mcamo</t>
  </si>
  <si>
    <t>class H_Bandanna_sgg</t>
  </si>
  <si>
    <t>TRUCKS</t>
  </si>
  <si>
    <t>class H_Bandanna_surfer</t>
  </si>
  <si>
    <t>Exile_Car_Van_Box_Black</t>
  </si>
  <si>
    <t>class H_Booniehat_dgtl</t>
  </si>
  <si>
    <t>Exile_Car_Van_Box_White</t>
  </si>
  <si>
    <t>class H_Booniehat_dirty</t>
  </si>
  <si>
    <t>Exile_Car_Van_Box_Red</t>
  </si>
  <si>
    <t>class H_Booniehat_grn</t>
  </si>
  <si>
    <t>Exile_Car_Van_Box_Guerilla01</t>
  </si>
  <si>
    <t>class H_Booniehat_indp</t>
  </si>
  <si>
    <t>Exile_Car_Van_Box_Guerilla02</t>
  </si>
  <si>
    <t>class H_Booniehat_khk</t>
  </si>
  <si>
    <t>Exile_Car_Van_Box_Guerilla03</t>
  </si>
  <si>
    <t>class H_Booniehat_khk_hs</t>
  </si>
  <si>
    <t>Exile_Car_Van_Box_Guerilla04</t>
  </si>
  <si>
    <t>class H_Booniehat_mcamo</t>
  </si>
  <si>
    <t>class H_Booniehat_tan</t>
  </si>
  <si>
    <t>Exile_Car_Van_Box_Guerilla05</t>
  </si>
  <si>
    <t>class H_Hat_blue</t>
  </si>
  <si>
    <t>class H_Hat_brown</t>
  </si>
  <si>
    <t>Exile_Car_Van_Box_Guerilla06</t>
  </si>
  <si>
    <t>class H_Hat_camo</t>
  </si>
  <si>
    <t>class H_Hat_checker</t>
  </si>
  <si>
    <t>class H_Hat_grey</t>
  </si>
  <si>
    <t>Exile_Car_Van_Box_Guerilla07</t>
  </si>
  <si>
    <t>class H_Hat_tan</t>
  </si>
  <si>
    <t>class H_StrawHat</t>
  </si>
  <si>
    <t>class H_StrawHat_dark</t>
  </si>
  <si>
    <t>Exile_Car_Van_Box_Guerilla08</t>
  </si>
  <si>
    <t>class H_Beret_02</t>
  </si>
  <si>
    <t>class H_Beret_blk</t>
  </si>
  <si>
    <t>Exile_Car_Van_Fuel_Black</t>
  </si>
  <si>
    <t>class H_Beret_blk_POLICE</t>
  </si>
  <si>
    <t>class H_Beret_brn_SF</t>
  </si>
  <si>
    <t>class H_Beret_Colonel</t>
  </si>
  <si>
    <t>Exile_Car_Van_Fuel_White</t>
  </si>
  <si>
    <t>class H_Beret_grn</t>
  </si>
  <si>
    <t>class H_Beret_grn_SF</t>
  </si>
  <si>
    <t>Exile_Car_Van_Fuel_Red</t>
  </si>
  <si>
    <t>class H_Beret_ocamo</t>
  </si>
  <si>
    <t>class H_Beret_red</t>
  </si>
  <si>
    <t>class H_Shemag_khk</t>
  </si>
  <si>
    <t>class H_Shemag_olive</t>
  </si>
  <si>
    <t>class H_Shemag_olive_hs</t>
  </si>
  <si>
    <t>Exile_Car_Van_Fuel_Guerilla01</t>
  </si>
  <si>
    <t>class H_Shemag_tan</t>
  </si>
  <si>
    <t>class H_ShemagOpen_khk</t>
  </si>
  <si>
    <t>class H_ShemagOpen_tan</t>
  </si>
  <si>
    <t>Exile_Car_Van_Fuel_Guerilla02</t>
  </si>
  <si>
    <t>class H_TurbanO_blk</t>
  </si>
  <si>
    <t>Exile_Car_Van_Fuel_Guerilla03</t>
  </si>
  <si>
    <t>Exile_Car_Ikarus_Blue</t>
  </si>
  <si>
    <t>class H_HelmetB_light</t>
  </si>
  <si>
    <t>Exile_Car_Ikarus_Red</t>
  </si>
  <si>
    <t>class H_HelmetB_light_black</t>
  </si>
  <si>
    <t>Exile_Car_Ikarus_Party</t>
  </si>
  <si>
    <t>class H_HelmetB_light_desert</t>
  </si>
  <si>
    <t>class H_HelmetB_light_grass</t>
  </si>
  <si>
    <t>Exile_Car_Ural_Open_Worker</t>
  </si>
  <si>
    <t>class H_HelmetB_light_sand</t>
  </si>
  <si>
    <t>class H_HelmetB_light_snakeskin</t>
  </si>
  <si>
    <t>class H_HelmetIA</t>
  </si>
  <si>
    <t>Exile_Car_Ural_Open_Blue</t>
  </si>
  <si>
    <t>class H_HelmetIA_camo</t>
  </si>
  <si>
    <t>class H_HelmetIA_net</t>
  </si>
  <si>
    <t>class H_HelmetB</t>
  </si>
  <si>
    <t>Exile_Car_Ural_Open_Yellow</t>
  </si>
  <si>
    <t>class H_HelmetB_black</t>
  </si>
  <si>
    <t>class H_HelmetB_camo</t>
  </si>
  <si>
    <t>Exile_Car_Ural_Open_Military</t>
  </si>
  <si>
    <t>class H_HelmetB_desert</t>
  </si>
  <si>
    <t>class H_HelmetB_grass</t>
  </si>
  <si>
    <t>Exile_Car_Ural_Covered_Worker</t>
  </si>
  <si>
    <t>class H_HelmetB_paint</t>
  </si>
  <si>
    <t>class H_HelmetB_plain_blk</t>
  </si>
  <si>
    <t>class H_HelmetB_sand</t>
  </si>
  <si>
    <t>Exile_Car_Ural_Covered_Blue</t>
  </si>
  <si>
    <t>class H_HelmetB_snakeskin</t>
  </si>
  <si>
    <t>class H_HelmetSpecB</t>
  </si>
  <si>
    <t>class H_HelmetSpecB_blk</t>
  </si>
  <si>
    <t>Exile_Car_Ural_Covered_Yellow</t>
  </si>
  <si>
    <t>class H_HelmetSpecB_paint1</t>
  </si>
  <si>
    <t>class H_HelmetSpecB_paint2</t>
  </si>
  <si>
    <t>class H_HelmetO_ocamo</t>
  </si>
  <si>
    <t>Exile_Car_Ural_Covered_Military</t>
  </si>
  <si>
    <t>class H_HelmetO_oucamo</t>
  </si>
  <si>
    <t>class H_HelmetSpecO_blk</t>
  </si>
  <si>
    <t>class H_HelmetSpecO_ocamo</t>
  </si>
  <si>
    <t>Exile_Car_Offroad_Armed_Guerilla01</t>
  </si>
  <si>
    <t>class H_HelmetLeaderO_ocamo</t>
  </si>
  <si>
    <t>class H_HelmetLeaderO_oucamo</t>
  </si>
  <si>
    <t>Exile_Car_Offroad_Armed_Guerilla02</t>
  </si>
  <si>
    <t>class H_CrewHelmetHeli_B</t>
  </si>
  <si>
    <t>class H_CrewHelmetHeli_I</t>
  </si>
  <si>
    <t>class H_CrewHelmetHeli_O</t>
  </si>
  <si>
    <t>Exile_Car_Offroad_Armed_Guerilla03</t>
  </si>
  <si>
    <t>class H_HelmetCrew_I</t>
  </si>
  <si>
    <t>class H_HelmetCrew_B</t>
  </si>
  <si>
    <t>class H_HelmetCrew_O</t>
  </si>
  <si>
    <t>class H_PilotHelmetHeli_B</t>
  </si>
  <si>
    <t>Exile_Car_Offroad_Armed_Guerilla04</t>
  </si>
  <si>
    <t>class H_PilotHelmetHeli_I</t>
  </si>
  <si>
    <t>class H_PilotHelmetHeli_O</t>
  </si>
  <si>
    <t>class H_PilotHelmetFighter_B</t>
  </si>
  <si>
    <t>Exile_Car_Offroad_Armed_Guerilla05</t>
  </si>
  <si>
    <t>class H_PilotHelmetFighter_I</t>
  </si>
  <si>
    <t>class H_PilotHelmetFighter_O</t>
  </si>
  <si>
    <t>Exile_Car_Offroad_Armed_Guerilla06</t>
  </si>
  <si>
    <t>CLOTHING</t>
  </si>
  <si>
    <t>Exile_Car_Offroad_Armed_Guerilla07</t>
  </si>
  <si>
    <t>CIVILIAN CLOTHING</t>
  </si>
  <si>
    <t>Exile_Car_Offroad_Armed_Guerilla08</t>
  </si>
  <si>
    <t xml:space="preserve">class U_C_Journalist </t>
  </si>
  <si>
    <t>Exile_Car_Offroad_Armed_Guerilla09</t>
  </si>
  <si>
    <t xml:space="preserve">class U_C_Poloshirt_blue </t>
  </si>
  <si>
    <t xml:space="preserve">class U_C_Poloshirt_burgundy </t>
  </si>
  <si>
    <t xml:space="preserve">class U_C_Poloshirt_salmon </t>
  </si>
  <si>
    <t>Exile_Car_Offroad_Armed_Guerilla10</t>
  </si>
  <si>
    <t xml:space="preserve">class U_C_Poloshirt_stripped </t>
  </si>
  <si>
    <t xml:space="preserve">class U_C_Poloshirt_tricolour </t>
  </si>
  <si>
    <t xml:space="preserve">class U_C_Poor_1 </t>
  </si>
  <si>
    <t>Exile_Car_Offroad_Armed_Guerilla11</t>
  </si>
  <si>
    <t xml:space="preserve">class U_C_Poor_2 </t>
  </si>
  <si>
    <t xml:space="preserve">class U_C_Poor_shorts_1 </t>
  </si>
  <si>
    <t xml:space="preserve">class U_C_Scientist </t>
  </si>
  <si>
    <t>Exile_Car_Offroad_Armed_Guerilla12</t>
  </si>
  <si>
    <t xml:space="preserve">class U_OrestesBody </t>
  </si>
  <si>
    <t xml:space="preserve">class U_Rangemaster </t>
  </si>
  <si>
    <t>Exile_Car_Zamak</t>
  </si>
  <si>
    <t xml:space="preserve">class U_NikosAgedBody </t>
  </si>
  <si>
    <t>class U_NikosBody</t>
  </si>
  <si>
    <t>Exile_Car_HEMMT</t>
  </si>
  <si>
    <t>class U_Competitor</t>
  </si>
  <si>
    <t>Exile_Car_Tempest</t>
  </si>
  <si>
    <t>class U_C_HunterBody_grn</t>
  </si>
  <si>
    <t>class Exile_Uniform_BambiOverall</t>
  </si>
  <si>
    <t>MILITARY UNIFORMS</t>
  </si>
  <si>
    <t xml:space="preserve">class U_B_CombatUniform_mcam </t>
  </si>
  <si>
    <t>Exile_Car_Ifrit</t>
  </si>
  <si>
    <t xml:space="preserve">class U_B_CombatUniform_mcam_tshirt </t>
  </si>
  <si>
    <t>Exile_Car_Hunter</t>
  </si>
  <si>
    <t xml:space="preserve">class U_B_CombatUniform_mcam_vest </t>
  </si>
  <si>
    <t xml:space="preserve">class U_B_CombatUniform_mcam_worn </t>
  </si>
  <si>
    <t>Exile_Car_Strider</t>
  </si>
  <si>
    <t xml:space="preserve">class U_B_CTRG_1 </t>
  </si>
  <si>
    <t xml:space="preserve">class U_B_CTRG_2 </t>
  </si>
  <si>
    <t>rhs_gaz66_vdv</t>
  </si>
  <si>
    <t>class U_B_CTRG_3</t>
  </si>
  <si>
    <t xml:space="preserve">class U_I_CombatUniform </t>
  </si>
  <si>
    <t>rhs_gaz66o_vdv</t>
  </si>
  <si>
    <t>class U_I_CombatUniform_shortsleeve</t>
  </si>
  <si>
    <t>class U_I_CombatUniform_tshirt</t>
  </si>
  <si>
    <t>rhs_gaz66_ap2_vdv</t>
  </si>
  <si>
    <t>class U_I_OfficerUniform</t>
  </si>
  <si>
    <t>rhs_gaz66_repair_vdv</t>
  </si>
  <si>
    <t xml:space="preserve">class U_O_CombatUniform_ocamo </t>
  </si>
  <si>
    <t xml:space="preserve">class U_O_CombatUniform_oucamo </t>
  </si>
  <si>
    <t>RHS_Ural_Fuel_VDV_01</t>
  </si>
  <si>
    <t xml:space="preserve">class U_O_OfficerUniform_ocamo </t>
  </si>
  <si>
    <t>rhsusf_rg33_d</t>
  </si>
  <si>
    <t xml:space="preserve">class U_B_SpecopsUniform_sgg </t>
  </si>
  <si>
    <t xml:space="preserve">class U_O_SpecopsUniform_blk </t>
  </si>
  <si>
    <t>rhsusf_rg33_wd</t>
  </si>
  <si>
    <t xml:space="preserve">class U_O_SpecopsUniform_ocamo </t>
  </si>
  <si>
    <t>rhs_pts_vmf</t>
  </si>
  <si>
    <t xml:space="preserve">class U_I_G_Story_Protagonist_F </t>
  </si>
  <si>
    <t>class U_B_survival_uniform</t>
  </si>
  <si>
    <t>rhsusf_M1078A1P2_d_fmtv_usarmy</t>
  </si>
  <si>
    <t xml:space="preserve">class Exile_Uniform_Woodland </t>
  </si>
  <si>
    <t>GUERILLA CLOTHING</t>
  </si>
  <si>
    <t>rhsusf_M1078A1P2_wd_fmtv_usarmy</t>
  </si>
  <si>
    <t>class U_IG_Guerilla1_1</t>
  </si>
  <si>
    <t>rhsusf_M1078A1P2_d_flatbed_fmtv_usarmy</t>
  </si>
  <si>
    <t>rhsusf_M1078A1P2_wd_flatbed_fmtv_usarmy</t>
  </si>
  <si>
    <t>class U_IG_Guerilla2_1</t>
  </si>
  <si>
    <t>rhsusf_M1078A1P2_d_open_fmtv_usarmy</t>
  </si>
  <si>
    <t>class U_IG_Guerilla2_2</t>
  </si>
  <si>
    <t>class U_IG_Guerilla2_3</t>
  </si>
  <si>
    <t>rhsusf_M1078A1P2_wd_open_fmtv_usarmy</t>
  </si>
  <si>
    <t>class U_IG_Guerilla3_1</t>
  </si>
  <si>
    <t>class U_BG_Guerilla2_1</t>
  </si>
  <si>
    <t>class U_IG_Guerilla3_2</t>
  </si>
  <si>
    <t>rhsusf_M1078A1P2_B_d_fmtv_usarmy</t>
  </si>
  <si>
    <t>class U_BG_Guerrilla_6_1</t>
  </si>
  <si>
    <t>class U_BG_Guerilla1_1</t>
  </si>
  <si>
    <t>class U_BG_Guerilla2_2</t>
  </si>
  <si>
    <t>rhsusf_M1078A1P2_B_wd_fmtv_usarmy</t>
  </si>
  <si>
    <t>class U_BG_Guerilla2_3</t>
  </si>
  <si>
    <t>class U_BG_Guerilla3_1</t>
  </si>
  <si>
    <t>class U_BG_leader</t>
  </si>
  <si>
    <t>rhsusf_M1078A1P2_B_d_flatbed_fmtv_usarmy</t>
  </si>
  <si>
    <t>rhsusf_M1078A1P2_B_wd_flatbed_fmtv_usarmy</t>
  </si>
  <si>
    <t>class U_IG_leader</t>
  </si>
  <si>
    <t>rhsusf_M1078A1P2_B_d_open_fmtv_usarmy</t>
  </si>
  <si>
    <t>class U_I_G_resistanceLeader_F</t>
  </si>
  <si>
    <t>GHILLIE SUITS</t>
  </si>
  <si>
    <t>class U_B_FullGhillie_ard</t>
  </si>
  <si>
    <t>rhsusf_M1078A1P2_B_wd_open_fmtv_usarmy</t>
  </si>
  <si>
    <t>class U_B_FullGhillie_lsh</t>
  </si>
  <si>
    <t>rhsusf_M1083A1P2_d_fmtv_usarmy</t>
  </si>
  <si>
    <t>class U_B_FullGhillie_sard</t>
  </si>
  <si>
    <t>class U_B_GhillieSuit</t>
  </si>
  <si>
    <t>rhsusf_M1083A1P2_wd_fmtv_usarmy</t>
  </si>
  <si>
    <t>class U_I_FullGhillie_ard</t>
  </si>
  <si>
    <t>class U_I_FullGhillie_lsh</t>
  </si>
  <si>
    <t>rhsusf_M1083A1P2_d_flatbed_fmtv_usarmy</t>
  </si>
  <si>
    <t>class U_I_FullGhillie_sard</t>
  </si>
  <si>
    <t>class U_I_GhillieSuit</t>
  </si>
  <si>
    <t>rhsusf_M1083A1P2_wd_flatbed_fmtv_usarmy</t>
  </si>
  <si>
    <t>class U_O_FullGhillie_ard</t>
  </si>
  <si>
    <t>rhsusf_M1083A1P2_d_open_fmtv_usarmy</t>
  </si>
  <si>
    <t>class U_O_FullGhillie_lsh</t>
  </si>
  <si>
    <t>class U_O_FullGhillie_sard</t>
  </si>
  <si>
    <t>class U_O_GhillieSuit</t>
  </si>
  <si>
    <t>rhsusf_M1083A1P2_wd_open_fmtv_usarmy</t>
  </si>
  <si>
    <t>class U_I_Wetsuit</t>
  </si>
  <si>
    <t>rhsusf_M1083A1P2_B_d_fmtv_usarmy</t>
  </si>
  <si>
    <t>class U_O_Wetsuit</t>
  </si>
  <si>
    <t>class U_B_Wetsuit</t>
  </si>
  <si>
    <t>rhsusf_M1083A1P2_B_wd_fmtv_usarmy</t>
  </si>
  <si>
    <t>PILOT CLOTHING</t>
  </si>
  <si>
    <t>class U_B_HeliPilotCoveralls</t>
  </si>
  <si>
    <t>rhsusf_M1083A1P2_B_d_flatbed_fmtv_usarmy</t>
  </si>
  <si>
    <t>class U_B_PilotCoveralls</t>
  </si>
  <si>
    <t>rhsusf_M1083A1P2_B_wd_flatbed_fmtv_usarmy</t>
  </si>
  <si>
    <t>class U_I_HeliPilotCoveralls</t>
  </si>
  <si>
    <t>class U_I_pilotCoveralls</t>
  </si>
  <si>
    <t>rhsusf_M1083A1P2_B_d_open_fmtv_usarmy</t>
  </si>
  <si>
    <t>class U_O_PilotCoveralls</t>
  </si>
  <si>
    <t>SMALL ARMS</t>
  </si>
  <si>
    <t>rhsusf_M1083A1P2_B_wd_open_fmtv_usarmy</t>
  </si>
  <si>
    <t>Bonus</t>
  </si>
  <si>
    <t>rhs_typhoon_vdv</t>
  </si>
  <si>
    <t>Class Name</t>
  </si>
  <si>
    <t>Range</t>
  </si>
  <si>
    <t>Accuracy</t>
  </si>
  <si>
    <t>Fire Rate</t>
  </si>
  <si>
    <t>rhsusf_m113_usarmy_unarmed</t>
  </si>
  <si>
    <t xml:space="preserve">class hgun_ACPC2_F </t>
  </si>
  <si>
    <t>rhsusf_m113d_usarmy_unarmed</t>
  </si>
  <si>
    <t>CHOPPERS</t>
  </si>
  <si>
    <t>Exile_Chopper_Hummingbird_Civillian_Wasp</t>
  </si>
  <si>
    <t>Exile_Chopper_Hummingbird_Civillian_Blue</t>
  </si>
  <si>
    <t xml:space="preserve">class hgun_P07_F </t>
  </si>
  <si>
    <t xml:space="preserve">class hgun_Pistol_heavy_01_F </t>
  </si>
  <si>
    <t>Exile_Chopper_Hummingbird_Civillian_Red</t>
  </si>
  <si>
    <t xml:space="preserve">class hgun_Pistol_heavy_02_F </t>
  </si>
  <si>
    <t>Exile_Chopper_Hummingbird_Civillian_ION</t>
  </si>
  <si>
    <t xml:space="preserve">class hgun_Pistol_Signal_F </t>
  </si>
  <si>
    <t>Exile_Chopper_Hummingbird_Civillian_BlueLine</t>
  </si>
  <si>
    <t xml:space="preserve">class hgun_Rook40_F </t>
  </si>
  <si>
    <t>SUB MACHINE GUNS</t>
  </si>
  <si>
    <t xml:space="preserve">class hgun_PDW2000_F </t>
  </si>
  <si>
    <t>Exile_Chopper_Hummingbird_Civillian_Digital</t>
  </si>
  <si>
    <t>Exile_Chopper_Hummingbird_Civillian_Elliptical</t>
  </si>
  <si>
    <t>Exile_Chopper_Hummingbird_Civillian_Furious</t>
  </si>
  <si>
    <t xml:space="preserve">class SMG_01_F </t>
  </si>
  <si>
    <t>Exile_Chopper_Hummingbird_Civillian_GrayWatcher</t>
  </si>
  <si>
    <t xml:space="preserve">class SMG_02_F </t>
  </si>
  <si>
    <t>Exile_Chopper_Hummingbird_Civillian_Jeans</t>
  </si>
  <si>
    <t>LIGHT MACHINE GUNS</t>
  </si>
  <si>
    <t>class arifle_MX_SW_Black_F</t>
  </si>
  <si>
    <t>Exile_Chopper_Hummingbird_Civillian_Light</t>
  </si>
  <si>
    <t>Exile_Chopper_Hummingbird_Civillian_Shadow</t>
  </si>
  <si>
    <t>class arifle_MX_SW_F</t>
  </si>
  <si>
    <t>Exile_Chopper_Hummingbird_Civillian_Sheriff</t>
  </si>
  <si>
    <t>class LMG_Mk200_F</t>
  </si>
  <si>
    <t>Exile_Chopper_Hummingbird_Civillian_Speedy</t>
  </si>
  <si>
    <t>class MMG_01_hex_F</t>
  </si>
  <si>
    <t>class MMG_01_tan_F</t>
  </si>
  <si>
    <t>Exile_Chopper_Hummingbird_Civillian_Sunset</t>
  </si>
  <si>
    <t>class MMG_02_camo_F</t>
  </si>
  <si>
    <t>class MMG_02_black_F</t>
  </si>
  <si>
    <t>Exile_Chopper_Hummingbird_Civillian_Vrana</t>
  </si>
  <si>
    <t>class MMG_02_sand_F</t>
  </si>
  <si>
    <t>class LMG_Zafir_F</t>
  </si>
  <si>
    <t>Exile_Chopper_Hummingbird_Civillian_Wave</t>
  </si>
  <si>
    <t>ASSAULT RIFLES</t>
  </si>
  <si>
    <t>class arifle_Katiba_C_F</t>
  </si>
  <si>
    <t>Exile_Chopper_Hummingbird_Green</t>
  </si>
  <si>
    <t>Exile_Chopper_Hellcat_Green</t>
  </si>
  <si>
    <t>Exile_Chopper_Hellcat_FIA</t>
  </si>
  <si>
    <t>Exile_Chopper_Orca_BlackCustom</t>
  </si>
  <si>
    <t>Exile_Chopper_Orca_CSAT</t>
  </si>
  <si>
    <t>class arifle_Katiba_F</t>
  </si>
  <si>
    <t>Exile_Chopper_Orca_Black</t>
  </si>
  <si>
    <t>class arifle_Katiba_GL_F</t>
  </si>
  <si>
    <t>Exile_Chopper_Taru_Transport_CSAT</t>
  </si>
  <si>
    <t>class arifle_Mk20_F</t>
  </si>
  <si>
    <t>Exile_Chopper_Taru_Transport_Black</t>
  </si>
  <si>
    <t>class arifle_Mk20_GL_F</t>
  </si>
  <si>
    <t>Exile_Chopper_Taru_Black</t>
  </si>
  <si>
    <t>class arifle_Mk20_GL_plain_F</t>
  </si>
  <si>
    <t>class arifle_Mk20_plain_F</t>
  </si>
  <si>
    <t>Exile_Chopper_Taru_CSAT</t>
  </si>
  <si>
    <t>class arifle_Mk20C_F</t>
  </si>
  <si>
    <t>Exile_Chopper_Taru_Covered_Black</t>
  </si>
  <si>
    <t>class arifle_Mk20C_plain_F</t>
  </si>
  <si>
    <t>class arifle_MX_Black_F</t>
  </si>
  <si>
    <t>Exile_Chopper_Taru_Covered_CSAT</t>
  </si>
  <si>
    <t>class arifle_MX_F</t>
  </si>
  <si>
    <t>Exile_Chopper_Mohawk_FIA</t>
  </si>
  <si>
    <t>class arifle_MX_GL_Black_F</t>
  </si>
  <si>
    <t>class arifle_MX_GL_F</t>
  </si>
  <si>
    <t>Exile_Chopper_Huron_Black</t>
  </si>
  <si>
    <t>class arifle_MXC_Black_F</t>
  </si>
  <si>
    <t>Exile_Chopper_Huron_Green</t>
  </si>
  <si>
    <t>RHS_UH1Y_UNARMED</t>
  </si>
  <si>
    <t>class arifle_MXC_F</t>
  </si>
  <si>
    <t>RHS_Mi8amt_civilian</t>
  </si>
  <si>
    <t>class arifle_SDAR_F</t>
  </si>
  <si>
    <t>RHS_Mi8amt_chdkz</t>
  </si>
  <si>
    <t>class arifle_TRG20_F</t>
  </si>
  <si>
    <t>class arifle_TRG21_F</t>
  </si>
  <si>
    <t>RHS_Mi8AMT_vdv</t>
  </si>
  <si>
    <t>class arifle_TRG21_GL_F</t>
  </si>
  <si>
    <t>SNIPER RIFLES</t>
  </si>
  <si>
    <t>RHS_Mi8AMT_vvsc</t>
  </si>
  <si>
    <t xml:space="preserve">class arifle_MXM_Black_F </t>
  </si>
  <si>
    <t>RHS_UH60M_MEV2</t>
  </si>
  <si>
    <t>RHS_UH60M_MEV</t>
  </si>
  <si>
    <t>PLANES</t>
  </si>
  <si>
    <t xml:space="preserve">class arifle_MXM_F </t>
  </si>
  <si>
    <t>Exile_Plane_Cessna</t>
  </si>
  <si>
    <t xml:space="preserve">class srifle_DMR_01_F </t>
  </si>
  <si>
    <t>GNT_C185F</t>
  </si>
  <si>
    <t xml:space="preserve">class srifle_DMR_02_camo_F </t>
  </si>
  <si>
    <t xml:space="preserve">class srifle_DMR_02_F </t>
  </si>
  <si>
    <t>RHS_C130J</t>
  </si>
  <si>
    <t xml:space="preserve">class srifle_DMR_02_sniper_F </t>
  </si>
  <si>
    <t>BOATS</t>
  </si>
  <si>
    <t xml:space="preserve">class srifle_DMR_03_F </t>
  </si>
  <si>
    <t>Exile_Boat_RubberDuck_CSAT</t>
  </si>
  <si>
    <t xml:space="preserve">class srifle_DMR_03_khaki_F </t>
  </si>
  <si>
    <t>Exile_Boat_RubberDuck_Digital</t>
  </si>
  <si>
    <t xml:space="preserve">class srifle_DMR_03_multicam_F </t>
  </si>
  <si>
    <t xml:space="preserve">class srifle_DMR_03_tan_F </t>
  </si>
  <si>
    <t>Exile_Boat_RubberDuck_Orange</t>
  </si>
  <si>
    <t xml:space="preserve">class srifle_DMR_03_woodland_F </t>
  </si>
  <si>
    <t>Exile_Boat_RubberDuck_Blue</t>
  </si>
  <si>
    <t xml:space="preserve">class srifle_DMR_04_F </t>
  </si>
  <si>
    <t>Exile_Boat_RubberDuck_Black</t>
  </si>
  <si>
    <t xml:space="preserve">class srifle_DMR_04_Tan_F </t>
  </si>
  <si>
    <t>Exile_Boat_MotorBoat_Police</t>
  </si>
  <si>
    <t xml:space="preserve">class srifle_DMR_05_blk_F </t>
  </si>
  <si>
    <t xml:space="preserve">class srifle_DMR_05_hex_F </t>
  </si>
  <si>
    <t>Exile_Boat_MotorBoat_Orange</t>
  </si>
  <si>
    <t xml:space="preserve">class srifle_DMR_05_tan_f </t>
  </si>
  <si>
    <t xml:space="preserve">class srifle_DMR_06_camo_F </t>
  </si>
  <si>
    <t>Exile_Boat_MotorBoat_White</t>
  </si>
  <si>
    <t>Exile_Boat_SDV_CSAT</t>
  </si>
  <si>
    <t xml:space="preserve">class srifle_DMR_06_olive_F </t>
  </si>
  <si>
    <t>Exile_Boat_SDV_Digital</t>
  </si>
  <si>
    <t xml:space="preserve">class srifle_EBR_F </t>
  </si>
  <si>
    <t xml:space="preserve">class srifle_GM6_camo_F </t>
  </si>
  <si>
    <t>Exile_Boat_SDV_Grey</t>
  </si>
  <si>
    <t xml:space="preserve">class srifle_GM6_F </t>
  </si>
  <si>
    <t xml:space="preserve">class srifle_LRR_camo_F </t>
  </si>
  <si>
    <t xml:space="preserve">class srifle_LRR_F </t>
  </si>
  <si>
    <t>Count</t>
  </si>
  <si>
    <t>Damage</t>
  </si>
  <si>
    <t>Speed</t>
  </si>
  <si>
    <t>Tracers</t>
  </si>
  <si>
    <t xml:space="preserve">class 6Rnd_GreenSignal_F </t>
  </si>
  <si>
    <t>*Note: Ammo is sorted by quality and price.</t>
  </si>
  <si>
    <t xml:space="preserve">class 6Rnd_RedSignal_F </t>
  </si>
  <si>
    <t xml:space="preserve">class 6Rnd_45ACP_Cylinder </t>
  </si>
  <si>
    <t xml:space="preserve">class 9Rnd_45ACP_Mag </t>
  </si>
  <si>
    <t xml:space="preserve">class 11Rnd_45ACP_Mag </t>
  </si>
  <si>
    <t xml:space="preserve">class 16Rnd_9x21_Mag </t>
  </si>
  <si>
    <t xml:space="preserve">class 20Rnd_556x45_UW_mag </t>
  </si>
  <si>
    <t xml:space="preserve">class 30Rnd_9x21_Mag </t>
  </si>
  <si>
    <t xml:space="preserve">class 30Rnd_45ACP_Mag_SMG_01 </t>
  </si>
  <si>
    <t xml:space="preserve">class 30Rnd_556x45_Stanag </t>
  </si>
  <si>
    <t>class 30Rnd_556x45_Stanag_green</t>
  </si>
  <si>
    <t>class 30Rnd_556x45_Stanag_red</t>
  </si>
  <si>
    <t xml:space="preserve">class 30Rnd_65x39_caseless_green </t>
  </si>
  <si>
    <t xml:space="preserve">class 30Rnd_65x39_caseless_mag </t>
  </si>
  <si>
    <t xml:space="preserve">class 30Rnd_45ACP_Mag_SMG_01_Tracer_Green </t>
  </si>
  <si>
    <t>class 30Rnd_45ACP_Mag_SMG_01_Tracer_Yellow</t>
  </si>
  <si>
    <t>class 30Rnd_45ACP_Mag_SMG_01_Tracer_Red</t>
  </si>
  <si>
    <t xml:space="preserve">class 30Rnd_556x45_Stanag_Tracer_Green </t>
  </si>
  <si>
    <t xml:space="preserve">class 30Rnd_556x45_Stanag_Tracer_Red </t>
  </si>
  <si>
    <t xml:space="preserve">class 30Rnd_556x45_Stanag_Tracer_Yellow </t>
  </si>
  <si>
    <t xml:space="preserve">class 30Rnd_65x39_caseless_green_mag_Tracer </t>
  </si>
  <si>
    <t xml:space="preserve">class 30Rnd_65x39_caseless_mag_Tracer </t>
  </si>
  <si>
    <t xml:space="preserve">class 100Rnd_65x39_caseless_mag </t>
  </si>
  <si>
    <t>NOTE: You should be able to copy and paste these class arrays into the config.cpp in your Mission PBO where the price lists go. If you don't like the way I have these organized, you are free to organize them however you want.</t>
  </si>
  <si>
    <t xml:space="preserve">class 100Rnd_65x39_caseless_mag_Tracer </t>
  </si>
  <si>
    <t>class 10Rnd_762x51_Mag</t>
  </si>
  <si>
    <t xml:space="preserve">class 10Rnd_762x54_Mag </t>
  </si>
  <si>
    <t xml:space="preserve">class 10Rnd_338_Mag </t>
  </si>
  <si>
    <t>Custom Sell Price</t>
  </si>
  <si>
    <t xml:space="preserve">class 10Rnd_93x64_DMR_05_Mag </t>
  </si>
  <si>
    <t xml:space="preserve">class 10Rnd_127x54_Mag </t>
  </si>
  <si>
    <t xml:space="preserve">class 7Rnd_408_Mag </t>
  </si>
  <si>
    <t>&lt;--Make sure you don't copy anything over here and accidentally paste it into your config!</t>
  </si>
  <si>
    <t xml:space="preserve">class 20Rnd_762x51_Mag </t>
  </si>
  <si>
    <t xml:space="preserve">class 5Rnd_127x108_Mag </t>
  </si>
  <si>
    <t xml:space="preserve">class 5Rnd_127x108_APDS_Mag </t>
  </si>
  <si>
    <t xml:space="preserve">class 130Rnd_338_Mag </t>
  </si>
  <si>
    <t xml:space="preserve">class 150Rnd_762x54_Box </t>
  </si>
  <si>
    <t xml:space="preserve">class 150Rnd_93x64_Mag </t>
  </si>
  <si>
    <t>{ quality =</t>
  </si>
  <si>
    <t xml:space="preserve">class 150Rnd_762x54_Box_Tracer </t>
  </si>
  <si>
    <t xml:space="preserve">class 200Rnd_65x39_cased_Box </t>
  </si>
  <si>
    <t>;</t>
  </si>
  <si>
    <t>price =</t>
  </si>
  <si>
    <t xml:space="preserve">class 200Rnd_65x39_cased_Box_Tracer </t>
  </si>
  <si>
    <t xml:space="preserve">Zoom </t>
  </si>
  <si>
    <t>Special?</t>
  </si>
  <si>
    <t>class optic_Aco</t>
  </si>
  <si>
    <t>NOTE: Don't adjust anything directly on this OUTPUT tab other than adding a custom sell price in the Q column where you want one. All other data manipulation should be done on the INPUT tab unless you know what you're doing!</t>
  </si>
  <si>
    <t>class optic_ACO_grn</t>
  </si>
  <si>
    <t>class optic_ACO_grn_smg</t>
  </si>
  <si>
    <t>class optic_Aco_smg</t>
  </si>
  <si>
    <t>class optic_AMS</t>
  </si>
  <si>
    <t>class optic_AMS_khk</t>
  </si>
  <si>
    <t>class optic_AMS_snd</t>
  </si>
  <si>
    <t>class optic_Arco</t>
  </si>
  <si>
    <t>class optic_DMS</t>
  </si>
  <si>
    <t>class optic_Hamr</t>
  </si>
  <si>
    <t>class optic_Holosight</t>
  </si>
  <si>
    <t>class optic_Holosight_smg</t>
  </si>
  <si>
    <t>Vehicle Sell Price Modifer</t>
  </si>
  <si>
    <t>class optic_KHS_blk</t>
  </si>
  <si>
    <t>class optic_KHS_hex</t>
  </si>
  <si>
    <t>class optic_KHS_old</t>
  </si>
  <si>
    <t>class optic_KHS_tan</t>
  </si>
  <si>
    <t>class optic_LRPS</t>
  </si>
  <si>
    <t>class optic_MRCO</t>
  </si>
  <si>
    <t>class optic_MRD</t>
  </si>
  <si>
    <t>class optic_Nightstalker</t>
  </si>
  <si>
    <t>class optic_NVS</t>
  </si>
  <si>
    <t>class optic_SOS</t>
  </si>
  <si>
    <t>//class optic_tws</t>
  </si>
  <si>
    <t>* Note we don't use thermals. Remove the //s if you do.</t>
  </si>
  <si>
    <t>//class optic_tws_mg</t>
  </si>
  <si>
    <t>class optic_Yorris</t>
  </si>
  <si>
    <t>POINTER ATTACHMENTS</t>
  </si>
  <si>
    <t xml:space="preserve">class acc_flashlight </t>
  </si>
  <si>
    <t>* Note set these to whatever you want, but don't be cheap ;^)</t>
  </si>
  <si>
    <t xml:space="preserve">class acc_pointer_IR </t>
  </si>
  <si>
    <t>BIPOD ATTACHMENTS</t>
  </si>
  <si>
    <t xml:space="preserve">Classname </t>
  </si>
  <si>
    <t>class bipod_01_F_blk</t>
  </si>
  <si>
    <t>class bipod_01_F_mtp</t>
  </si>
  <si>
    <t>class bipod_01_F_snd</t>
  </si>
  <si>
    <t>class bipod_02_F_blk</t>
  </si>
  <si>
    <t>class bipod_02_F_hex</t>
  </si>
  <si>
    <t>class bipod_02_F_tan</t>
  </si>
  <si>
    <t>class bipod_03_F_blk</t>
  </si>
  <si>
    <t>class bipod_03_F_oli</t>
  </si>
  <si>
    <t>MUZZLE ATTACHMENTS</t>
  </si>
  <si>
    <t xml:space="preserve">class muzzle_snds_338_black </t>
  </si>
  <si>
    <t xml:space="preserve">class muzzle_snds_338_green </t>
  </si>
  <si>
    <t xml:space="preserve">class muzzle_snds_338_sand </t>
  </si>
  <si>
    <t xml:space="preserve">class muzzle_snds_93mmg </t>
  </si>
  <si>
    <t xml:space="preserve">class muzzle_snds_93mmg_tan </t>
  </si>
  <si>
    <t xml:space="preserve">class muzzle_snds_acp </t>
  </si>
  <si>
    <t xml:space="preserve">class muzzle_snds_B </t>
  </si>
  <si>
    <t xml:space="preserve">class muzzle_snds_H </t>
  </si>
  <si>
    <t xml:space="preserve">class muzzle_snds_H_MG </t>
  </si>
  <si>
    <t xml:space="preserve">class muzzle_snds_H_SW </t>
  </si>
  <si>
    <t xml:space="preserve">class muzzle_snds_L </t>
  </si>
  <si>
    <t xml:space="preserve">class muzzle_snds_M </t>
  </si>
  <si>
    <t>class I_UavTerminal</t>
  </si>
  <si>
    <t>class I_UAV_01_backpack_F</t>
  </si>
  <si>
    <t>STATIC MGS</t>
  </si>
  <si>
    <t xml:space="preserve">class O_HMG_01_weapon_F </t>
  </si>
  <si>
    <t xml:space="preserve">class O_HMG_01_support_F </t>
  </si>
  <si>
    <t>// class O_HMG_01_support_high_F</t>
  </si>
  <si>
    <t>class Exile_Item_Rope</t>
  </si>
  <si>
    <t>class Exile_Item_DuctTape</t>
  </si>
  <si>
    <t>class Exile_Item_ExtensionCord</t>
  </si>
  <si>
    <t>class Exile_Item_FuelCanisterEmpty</t>
  </si>
  <si>
    <t>class Exile_Item_JunkMetal</t>
  </si>
  <si>
    <t>class Exile_Item_LightBulb</t>
  </si>
  <si>
    <t>class Exile_Item_MetalBoard</t>
  </si>
  <si>
    <t>class Exile_Item_SafeKit</t>
  </si>
  <si>
    <t>class Exile_Item_CodeLock</t>
  </si>
  <si>
    <t>class Exile_Item_CamoTentKit</t>
  </si>
  <si>
    <t>class Exile_Item_MetalPole</t>
  </si>
  <si>
    <t xml:space="preserve">class Exile_Item_Matches </t>
  </si>
  <si>
    <t>class Exile_Item_CookingPot</t>
  </si>
  <si>
    <t>class Exile_Melee_Axe</t>
  </si>
  <si>
    <t>class Exile_Item_CanOpener</t>
  </si>
  <si>
    <t>class Exile_Item_Handsaw</t>
  </si>
  <si>
    <t>class Exile_Item_Pliers</t>
  </si>
  <si>
    <t>class Exile_Item_Grinder</t>
  </si>
  <si>
    <t>Hunger</t>
  </si>
  <si>
    <t>class Exile_Item_EMRE</t>
  </si>
  <si>
    <t>class Exile_Item_GloriousKnakworst</t>
  </si>
  <si>
    <t>class Exile_Item_Surstromming</t>
  </si>
  <si>
    <t>class Exile_Item_SausageGravy</t>
  </si>
  <si>
    <t>class Exile_Item_Catfood</t>
  </si>
  <si>
    <t>class Exile_Item_ChristmasTinner</t>
  </si>
  <si>
    <t>class Exile_Item_BBQSandwich</t>
  </si>
  <si>
    <t>class Exile_Item_Dogfood</t>
  </si>
  <si>
    <t>class Exile_Item_BeefParts</t>
  </si>
  <si>
    <t>class Exile_Item_Cheathas</t>
  </si>
  <si>
    <t>class Exile_Item_Noodles</t>
  </si>
  <si>
    <t>class Exile_Item_SeedAstics</t>
  </si>
  <si>
    <t>class Exile_Item_Raisins</t>
  </si>
  <si>
    <t>class Exile_Item_Moobar</t>
  </si>
  <si>
    <t>class Exile_Item_InstantCoffee</t>
  </si>
  <si>
    <t>class Exile_Item_Can_Empty</t>
  </si>
  <si>
    <t>* Note because 0</t>
  </si>
  <si>
    <t>Thirst</t>
  </si>
  <si>
    <t>class Exile_Item_PlasticBottleCoffee</t>
  </si>
  <si>
    <t>class Exile_Item_PowerDrink</t>
  </si>
  <si>
    <t xml:space="preserve">class Exile_Item_PlasticBottleFreshWater </t>
  </si>
  <si>
    <t xml:space="preserve">class Exile_Item_Beer </t>
  </si>
  <si>
    <t>class Exile_Item_EnergyDrink</t>
  </si>
  <si>
    <t>class Exile_Item_MountainDupe</t>
  </si>
  <si>
    <t>class Exile_Item_PlasticBottleEmpty</t>
  </si>
  <si>
    <t>FIRST AID</t>
  </si>
  <si>
    <t>Heal</t>
  </si>
  <si>
    <t>class Exile_Item_InstaDoc</t>
  </si>
  <si>
    <t>class Exile_Item_Vishpirin</t>
  </si>
  <si>
    <t>class Exile_Item_Bandage</t>
  </si>
  <si>
    <t>//class Medikit</t>
  </si>
  <si>
    <t>* Note we use the medikit for bleeding, it's commented out by default</t>
  </si>
  <si>
    <t>class ItemWatch</t>
  </si>
  <si>
    <t>class ItemGPS</t>
  </si>
  <si>
    <t>class ItemMap</t>
  </si>
  <si>
    <t>class ItemCompass</t>
  </si>
  <si>
    <t>class ItemRadio</t>
  </si>
  <si>
    <t>class Binocular</t>
  </si>
  <si>
    <t>class Rangefinder</t>
  </si>
  <si>
    <t>class NVGoggles</t>
  </si>
  <si>
    <t>class NVGoggles_INDEP</t>
  </si>
  <si>
    <t>class NVGoggles_OPFOR</t>
  </si>
  <si>
    <t>class Exile_Item_XM8</t>
  </si>
  <si>
    <t>REBREATHERS</t>
  </si>
  <si>
    <t>class V_RebreatherB</t>
  </si>
  <si>
    <t>class V_RebreatherIA</t>
  </si>
  <si>
    <t>class V_RebreatherIR</t>
  </si>
  <si>
    <t>class Chemlight_blue</t>
  </si>
  <si>
    <t>class Chemlight_green</t>
  </si>
  <si>
    <t>class Chemlight_red</t>
  </si>
  <si>
    <t>class FlareGreen_F</t>
  </si>
  <si>
    <t>class FlareRed_F</t>
  </si>
  <si>
    <t>class FlareWhite_F</t>
  </si>
  <si>
    <t>class FlareYellow_F</t>
  </si>
  <si>
    <t>class UGL_FlareGreen_F</t>
  </si>
  <si>
    <t>class UGL_FlareRed_F</t>
  </si>
  <si>
    <t>class UGL_FlareWhite_F</t>
  </si>
  <si>
    <t>class UGL_FlareYellow_F</t>
  </si>
  <si>
    <t>class 3Rnd_UGL_FlareGreen_F</t>
  </si>
  <si>
    <t>class 3Rnd_UGL_FlareRed_F</t>
  </si>
  <si>
    <t>class 3Rnd_UGL_FlareWhite_F</t>
  </si>
  <si>
    <t>class 3Rnd_UGL_FlareYellow_F</t>
  </si>
  <si>
    <t>class SmokeShell</t>
  </si>
  <si>
    <t>class SmokeShellBlue</t>
  </si>
  <si>
    <t>class SmokeShellGreen</t>
  </si>
  <si>
    <t>class SmokeShellOrange</t>
  </si>
  <si>
    <t>class SmokeShellPurple</t>
  </si>
  <si>
    <t>class SmokeShellRed</t>
  </si>
  <si>
    <t>class SmokeShellYellow</t>
  </si>
  <si>
    <t>class 1Rnd_Smoke_Grenade_shell</t>
  </si>
  <si>
    <t>class 1Rnd_SmokeBlue_Grenade_shell</t>
  </si>
  <si>
    <t>class 1Rnd_SmokeGreen_Grenade_shell</t>
  </si>
  <si>
    <t>class 1Rnd_SmokeOrange_Grenade_shell</t>
  </si>
  <si>
    <t>class 1Rnd_SmokePurple_Grenade_shell</t>
  </si>
  <si>
    <t>class 1Rnd_SmokeRed_Grenade_shell</t>
  </si>
  <si>
    <t>class 1Rnd_SmokeYellow_Grenade_shell</t>
  </si>
  <si>
    <t>class 3Rnd_Smoke_Grenade_shell</t>
  </si>
  <si>
    <t>class 3Rnd_SmokeBlue_Grenade_shell</t>
  </si>
  <si>
    <t>class 3Rnd_SmokeGreen_Grenade_shell</t>
  </si>
  <si>
    <t>class 3Rnd_SmokeOrange_Grenade_shell</t>
  </si>
  <si>
    <t>class 3Rnd_SmokePurple_Grenade_shell</t>
  </si>
  <si>
    <t>class 3Rnd_SmokeRed_Grenade_shell</t>
  </si>
  <si>
    <t>class 3Rnd_SmokeYellow_Grenade_shell</t>
  </si>
  <si>
    <t>class HandGrenade</t>
  </si>
  <si>
    <t>class MiniGrenade</t>
  </si>
  <si>
    <t>class B_IR_Grenade</t>
  </si>
  <si>
    <t>class O_IR_Grenade</t>
  </si>
  <si>
    <t>class I_IR_Grenade</t>
  </si>
  <si>
    <t>class 1Rnd_HE_Grenade_shell</t>
  </si>
  <si>
    <t>class 3Rnd_HE_Grenade_shell</t>
  </si>
  <si>
    <t>class APERSBoundingMine_Range_Mag</t>
  </si>
  <si>
    <t>class APERSMine_Range_Mag</t>
  </si>
  <si>
    <t>class APERSTripMine_Wire_Mag</t>
  </si>
  <si>
    <t>class ClaymoreDirectionalMine_Remote_Mag</t>
  </si>
  <si>
    <t>class DemoCharge_Remote_Mag</t>
  </si>
  <si>
    <t>class IEDLandBig_Remote_Mag</t>
  </si>
  <si>
    <t>class IEDLandSmall_Remote_Mag</t>
  </si>
  <si>
    <t>class IEDUrbanBig_Remote_Mag</t>
  </si>
  <si>
    <t>class IEDUrbanSmall_Remote_Mag</t>
  </si>
  <si>
    <t>class SatchelCharge_Remote_Mag</t>
  </si>
  <si>
    <t>class SLAMDirectionalMine_Wire_Mag</t>
  </si>
  <si>
    <t>CIVILIAN VEHICLES</t>
  </si>
  <si>
    <t>*Most vehicle prices on here are set to where they will be by default on the 0.9.4 Exile update.</t>
  </si>
  <si>
    <t xml:space="preserve">class Exile_Bike_OldBike </t>
  </si>
  <si>
    <t>class Exile_Bike_MountainBike</t>
  </si>
  <si>
    <t>KARTS</t>
  </si>
  <si>
    <t xml:space="preserve">Kart Prices = </t>
  </si>
  <si>
    <t>class Exile_Car_Kart_BluKing</t>
  </si>
  <si>
    <t>class Exile_Car_Kart_RedStone</t>
  </si>
  <si>
    <t>class Exile_Car_Kart_Vrana</t>
  </si>
  <si>
    <t>class Exile_Car_Kart_Green</t>
  </si>
  <si>
    <t>class Exile_Car_Kart_Blue</t>
  </si>
  <si>
    <t>class Exile_Car_Kart_Orange</t>
  </si>
  <si>
    <t>class Exile_Car_Kart_White</t>
  </si>
  <si>
    <t>class Exile_Car_Kart_Yellow</t>
  </si>
  <si>
    <t>class Exile_Car_Kart_Black</t>
  </si>
  <si>
    <t>QUADS</t>
  </si>
  <si>
    <t xml:space="preserve">Quad Prices = </t>
  </si>
  <si>
    <t>class Exile_Bike_QuadBike_Black</t>
  </si>
  <si>
    <t>class Exile_Bike_QuadBike_Blue</t>
  </si>
  <si>
    <t>class Exile_Bike_QuadBike_Red</t>
  </si>
  <si>
    <t>class Exile_Bike_QuadBike_White</t>
  </si>
  <si>
    <t>class Exile_Bike_QuadBike_Nato</t>
  </si>
  <si>
    <t>class Exile_Bike_QuadBike_Csat</t>
  </si>
  <si>
    <t>class Exile_Bike_QuadBike_Fia</t>
  </si>
  <si>
    <t>class Exile_Bike_QuadBike_Guerilla01</t>
  </si>
  <si>
    <t>class Exile_Bike_QuadBike_Guerilla02</t>
  </si>
  <si>
    <t>LADAS</t>
  </si>
  <si>
    <t>Lada Prices =</t>
  </si>
  <si>
    <t xml:space="preserve">class Exile_Car_Lada_Green </t>
  </si>
  <si>
    <t xml:space="preserve">class Exile_Car_Lada_Taxi </t>
  </si>
  <si>
    <t xml:space="preserve">class Exile_Car_Lada_Red </t>
  </si>
  <si>
    <t xml:space="preserve">class Exile_Car_Lada_White </t>
  </si>
  <si>
    <t xml:space="preserve">class Exile_Car_Lada_Hipster </t>
  </si>
  <si>
    <t>VOLHAS</t>
  </si>
  <si>
    <t xml:space="preserve">Volha Prices = </t>
  </si>
  <si>
    <t>class Exile_Car_Volha_Blue</t>
  </si>
  <si>
    <t>class Exile_Car_Volha_White</t>
  </si>
  <si>
    <t>class Exile_Car_Volha_Black</t>
  </si>
  <si>
    <t>HATCHBACKS</t>
  </si>
  <si>
    <t xml:space="preserve">Hatch Prices = </t>
  </si>
  <si>
    <t>class Exile_Car_Hatchback_Beige</t>
  </si>
  <si>
    <t>class Exile_Car_Hatchback_Green</t>
  </si>
  <si>
    <t>class Exile_Car_Hatchback_Blue</t>
  </si>
  <si>
    <t>class Exile_Car_Hatchback_BlueCustom</t>
  </si>
  <si>
    <t>class Exile_Car_Hatchback_BeigeCustom</t>
  </si>
  <si>
    <t>class Exile_Car_Hatchback_Yellow</t>
  </si>
  <si>
    <t>class Exile_Car_Hatchback_Grey</t>
  </si>
  <si>
    <t>class Exile_Car_Hatchback_Black</t>
  </si>
  <si>
    <t>class Exile_Car_Hatchback_Dark</t>
  </si>
  <si>
    <t>class Exile_Car_Hatchback_Rusty1</t>
  </si>
  <si>
    <t>class Exile_Car_Hatchback_Rusty2</t>
  </si>
  <si>
    <t>class Exile_Car_Hatchback_Rusty3</t>
  </si>
  <si>
    <t>HOT HATCHES</t>
  </si>
  <si>
    <t>Hot Hatch Prices =</t>
  </si>
  <si>
    <t>class Exile_Car_Hatchback_Sport_Red</t>
  </si>
  <si>
    <t>class Exile_Car_Hatchback_Sport_Blue</t>
  </si>
  <si>
    <t>class Exile_Car_Hatchback_Sport_Orange</t>
  </si>
  <si>
    <t>class Exile_Car_Hatchback_Sport_White</t>
  </si>
  <si>
    <t>class Exile_Car_Hatchback_Sport_Beige</t>
  </si>
  <si>
    <t>class Exile_Car_Hatchback_Sport_Green</t>
  </si>
  <si>
    <t>SUVS</t>
  </si>
  <si>
    <t xml:space="preserve">SUV Prices = </t>
  </si>
  <si>
    <t xml:space="preserve">class Exile_Car_SUV_Red </t>
  </si>
  <si>
    <t xml:space="preserve">class Exile_Car_SUV_Black </t>
  </si>
  <si>
    <t xml:space="preserve">class Exile_Car_SUV_Grey </t>
  </si>
  <si>
    <t xml:space="preserve">class Exile_Car_SUV_Orange </t>
  </si>
  <si>
    <t>SUVXL</t>
  </si>
  <si>
    <t xml:space="preserve">class Exile_Car_SUVXL_Black </t>
  </si>
  <si>
    <t>OFFROADS</t>
  </si>
  <si>
    <t xml:space="preserve">Offroad Prices = </t>
  </si>
  <si>
    <t>class Exile_Car_Offroad_Red</t>
  </si>
  <si>
    <t>class Exile_Car_Offroad_Beige</t>
  </si>
  <si>
    <t>class Exile_Car_Offroad_White</t>
  </si>
  <si>
    <t>class Exile_Car_Offroad_Blue</t>
  </si>
  <si>
    <t>class Exile_Car_Offroad_DarkRed</t>
  </si>
  <si>
    <t>class Exile_Car_Offroad_BlueCustom</t>
  </si>
  <si>
    <t>class Exile_Car_Offroad_Guerilla01</t>
  </si>
  <si>
    <t>class Exile_Car_Offroad_Guerilla02</t>
  </si>
  <si>
    <t>class Exile_Car_Offroad_Guerilla03</t>
  </si>
  <si>
    <t>class Exile_Car_Offroad_Guerilla04</t>
  </si>
  <si>
    <t>class Exile_Car_Offroad_Guerilla05</t>
  </si>
  <si>
    <t>class Exile_Car_Offroad_Guerilla06</t>
  </si>
  <si>
    <t>class Exile_Car_Offroad_Guerilla07</t>
  </si>
  <si>
    <t>class Exile_Car_Offroad_Guerilla08</t>
  </si>
  <si>
    <t>class Exile_Car_Offroad_Guerilla09</t>
  </si>
  <si>
    <t>class Exile_Car_Offroad_Guerilla10</t>
  </si>
  <si>
    <t>class Exile_Car_Offroad_Guerilla11</t>
  </si>
  <si>
    <t>class Exile_Car_Offroad_Guerilla12</t>
  </si>
  <si>
    <t>class Exile_Car_Offroad_Rusty1</t>
  </si>
  <si>
    <t>class Exile_Car_Offroad_Rusty2</t>
  </si>
  <si>
    <t>class Exile_Car_Offroad_Rusty3</t>
  </si>
  <si>
    <t>OFFROAD REPAIR</t>
  </si>
  <si>
    <t>Offroad Repair Prices =</t>
  </si>
  <si>
    <t xml:space="preserve">class Exile_Car_Offroad_Repair_Civillian </t>
  </si>
  <si>
    <t xml:space="preserve">class Exile_Car_Offroad_Repair_Red </t>
  </si>
  <si>
    <t xml:space="preserve">class Exile_Car_Offroad_Repair_Beige </t>
  </si>
  <si>
    <t xml:space="preserve">class Exile_Car_Offroad_Repair_White </t>
  </si>
  <si>
    <t xml:space="preserve">class Exile_Car_Offroad_Repair_Blue </t>
  </si>
  <si>
    <t xml:space="preserve">class Exile_Car_Offroad_Repair_DarkRed </t>
  </si>
  <si>
    <t xml:space="preserve">class Exile_Car_Offroad_Repair_BlueCustom </t>
  </si>
  <si>
    <t xml:space="preserve">class Exile_Car_Offroad_Repair_Guerilla01 </t>
  </si>
  <si>
    <t xml:space="preserve">class Exile_Car_Offroad_Repair_Guerilla02 </t>
  </si>
  <si>
    <t xml:space="preserve">class Exile_Car_Offroad_Repair_Guerilla03 </t>
  </si>
  <si>
    <t xml:space="preserve">class Exile_Car_Offroad_Repair_Guerilla04 </t>
  </si>
  <si>
    <t xml:space="preserve">class Exile_Car_Offroad_Repair_Guerilla05 </t>
  </si>
  <si>
    <t xml:space="preserve">class Exile_Car_Offroad_Repair_Guerilla06 </t>
  </si>
  <si>
    <t xml:space="preserve">class Exile_Car_Offroad_Repair_Guerilla07 </t>
  </si>
  <si>
    <t xml:space="preserve">class Exile_Car_Offroad_Repair_Guerilla08 </t>
  </si>
  <si>
    <t xml:space="preserve">class Exile_Car_Offroad_Repair_Guerilla09 </t>
  </si>
  <si>
    <t xml:space="preserve">class Exile_Car_Offroad_Repair_Guerilla10 </t>
  </si>
  <si>
    <t xml:space="preserve">class Exile_Car_Offroad_Repair_Guerilla11 </t>
  </si>
  <si>
    <t xml:space="preserve">class Exile_Car_Offroad_Repair_Guerilla12 </t>
  </si>
  <si>
    <t>VANS</t>
  </si>
  <si>
    <t xml:space="preserve">Van Prices = </t>
  </si>
  <si>
    <t xml:space="preserve">class Exile_Car_Van_Black </t>
  </si>
  <si>
    <t xml:space="preserve">class Exile_Car_Van_White </t>
  </si>
  <si>
    <t xml:space="preserve">class Exile_Car_Van_Red </t>
  </si>
  <si>
    <t xml:space="preserve">class Exile_Car_Van_Guerilla01 </t>
  </si>
  <si>
    <t xml:space="preserve">class Exile_Car_Van_Guerilla02 </t>
  </si>
  <si>
    <t xml:space="preserve">class Exile_Car_Van_Guerilla03 </t>
  </si>
  <si>
    <t xml:space="preserve">class Exile_Car_Van_Guerilla04 </t>
  </si>
  <si>
    <t xml:space="preserve">class Exile_Car_Van_Guerilla05 </t>
  </si>
  <si>
    <t xml:space="preserve">class Exile_Car_Van_Guerilla06 </t>
  </si>
  <si>
    <t xml:space="preserve">class Exile_Car_Van_Guerilla07 </t>
  </si>
  <si>
    <t xml:space="preserve">class Exile_Car_Van_Guerilla08 </t>
  </si>
  <si>
    <t>BOX VANS</t>
  </si>
  <si>
    <t>Box Van Prices =</t>
  </si>
  <si>
    <t xml:space="preserve">class Exile_Car_Van_Box_Black </t>
  </si>
  <si>
    <t xml:space="preserve">class Exile_Car_Van_Box_White </t>
  </si>
  <si>
    <t xml:space="preserve">class Exile_Car_Van_Box_Red </t>
  </si>
  <si>
    <t xml:space="preserve">class Exile_Car_Van_Box_Guerilla01 </t>
  </si>
  <si>
    <t xml:space="preserve">class Exile_Car_Van_Box_Guerilla02 </t>
  </si>
  <si>
    <t xml:space="preserve">class Exile_Car_Van_Box_Guerilla03 </t>
  </si>
  <si>
    <t xml:space="preserve">class Exile_Car_Van_Box_Guerilla04 </t>
  </si>
  <si>
    <t xml:space="preserve">class Exile_Car_Van_Box_Guerilla05 </t>
  </si>
  <si>
    <t xml:space="preserve">class Exile_Car_Van_Box_Guerilla06 </t>
  </si>
  <si>
    <t xml:space="preserve">class Exile_Car_Van_Box_Guerilla07 </t>
  </si>
  <si>
    <t xml:space="preserve">class Exile_Car_Van_Box_Guerilla08 </t>
  </si>
  <si>
    <t>FUEL VANS</t>
  </si>
  <si>
    <t>Fuel Van Prices =</t>
  </si>
  <si>
    <t xml:space="preserve">class Exile_Car_Van_Fuel_Black </t>
  </si>
  <si>
    <t xml:space="preserve">class Exile_Car_Van_Fuel_White </t>
  </si>
  <si>
    <t xml:space="preserve">class Exile_Car_Van_Fuel_Red </t>
  </si>
  <si>
    <t xml:space="preserve">class Exile_Car_Van_Fuel_Guerilla01 </t>
  </si>
  <si>
    <t xml:space="preserve">class Exile_Car_Van_Fuel_Guerilla02 </t>
  </si>
  <si>
    <t xml:space="preserve">class Exile_Car_Van_Fuel_Guerilla03 </t>
  </si>
  <si>
    <t>BUSES</t>
  </si>
  <si>
    <t xml:space="preserve">Ikarus Prices = </t>
  </si>
  <si>
    <t xml:space="preserve">class Exile_Car_Ikarus_Blue </t>
  </si>
  <si>
    <t xml:space="preserve">class Exile_Car_Ikarus_Red </t>
  </si>
  <si>
    <t xml:space="preserve">class Exile_Car_Ikarus_Party </t>
  </si>
  <si>
    <t>URALS (OPEN)</t>
  </si>
  <si>
    <t>Open Ural Prices =</t>
  </si>
  <si>
    <t>class Exile_Car_Ural_Open_Blue</t>
  </si>
  <si>
    <t>class Exile_Car_Ural_Open_Yellow</t>
  </si>
  <si>
    <t>class Exile_Car_Ural_Open_Worker</t>
  </si>
  <si>
    <t>URALS (COVERED)</t>
  </si>
  <si>
    <t>Covered Ural Prices =</t>
  </si>
  <si>
    <t>class Exile_Car_Ural_Covered_Blue</t>
  </si>
  <si>
    <t>class Exile_Car_Ural_Covered_Yellow</t>
  </si>
  <si>
    <t>class Exile_Car_Ural_Covered_Worker</t>
  </si>
  <si>
    <t>MILITARY VEHICLES</t>
  </si>
  <si>
    <t>ARMED OFFROADS</t>
  </si>
  <si>
    <t>Armed OR Prices =</t>
  </si>
  <si>
    <t xml:space="preserve">class Exile_Car_Offroad_Armed_Guerilla01 </t>
  </si>
  <si>
    <t xml:space="preserve">class Exile_Car_Offroad_Armed_Guerilla02 </t>
  </si>
  <si>
    <t xml:space="preserve">class Exile_Car_Offroad_Armed_Guerilla03 </t>
  </si>
  <si>
    <t xml:space="preserve">class Exile_Car_Offroad_Armed_Guerilla04 </t>
  </si>
  <si>
    <t xml:space="preserve">class Exile_Car_Offroad_Armed_Guerilla05 </t>
  </si>
  <si>
    <t xml:space="preserve">class Exile_Car_Offroad_Armed_Guerilla06 </t>
  </si>
  <si>
    <t xml:space="preserve">class Exile_Car_Offroad_Armed_Guerilla07 </t>
  </si>
  <si>
    <t xml:space="preserve">class Exile_Car_Offroad_Armed_Guerilla08 </t>
  </si>
  <si>
    <t xml:space="preserve">class Exile_Car_Offroad_Armed_Guerilla09 </t>
  </si>
  <si>
    <t xml:space="preserve">class Exile_Car_Offroad_Armed_Guerilla10 </t>
  </si>
  <si>
    <t xml:space="preserve">class Exile_Car_Offroad_Armed_Guerilla11 </t>
  </si>
  <si>
    <t xml:space="preserve">class Exile_Car_Offroad_Armed_Guerilla12 </t>
  </si>
  <si>
    <t>TRANSPORTS</t>
  </si>
  <si>
    <t>class Exile_Car_Ural_Open_Military</t>
  </si>
  <si>
    <t>class Exile_Car_Ural_Covered_Military</t>
  </si>
  <si>
    <t xml:space="preserve">class Exile_Car_Zamak </t>
  </si>
  <si>
    <t xml:space="preserve">class Exile_Car_HEMMT </t>
  </si>
  <si>
    <t xml:space="preserve">class Exile_Car_Tempest </t>
  </si>
  <si>
    <t>ARMORED CARS</t>
  </si>
  <si>
    <t xml:space="preserve">class Exile_Car_Ifrit </t>
  </si>
  <si>
    <t xml:space="preserve">class Exile_Car_Hunter </t>
  </si>
  <si>
    <t xml:space="preserve">class Exile_Car_Strider </t>
  </si>
  <si>
    <t>CIVILIAN AIRCRAFT</t>
  </si>
  <si>
    <t xml:space="preserve">Civ Humminbgird = </t>
  </si>
  <si>
    <t>class Exile_Chopper_Hummingbird_Civillian_Blue</t>
  </si>
  <si>
    <t>class Exile_Chopper_Hummingbird_Civillian_Red</t>
  </si>
  <si>
    <t>class Exile_Chopper_Hummingbird_Civillian_ION</t>
  </si>
  <si>
    <t>class Exile_Chopper_Hummingbird_Civillian_BlueLine</t>
  </si>
  <si>
    <t>class Exile_Chopper_Hummingbird_Civillian_Digital</t>
  </si>
  <si>
    <t>class Exile_Chopper_Hummingbird_Civillian_Elliptical</t>
  </si>
  <si>
    <t>class Exile_Chopper_Hummingbird_Civillian_Furious</t>
  </si>
  <si>
    <t>class Exile_Chopper_Hummingbird_Civillian_GrayWatcher</t>
  </si>
  <si>
    <t>class Exile_Chopper_Hummingbird_Civillian_Jeans</t>
  </si>
  <si>
    <t>class Exile_Chopper_Hummingbird_Civillian_Light</t>
  </si>
  <si>
    <t>class Exile_Chopper_Hummingbird_Civillian_Shadow</t>
  </si>
  <si>
    <t>class Exile_Chopper_Hummingbird_Civillian_Sheriff</t>
  </si>
  <si>
    <t>class Exile_Chopper_Hummingbird_Civillian_Speedy</t>
  </si>
  <si>
    <t>class Exile_Chopper_Hummingbird_Civillian_Sunset</t>
  </si>
  <si>
    <t>class Exile_Chopper_Hummingbird_Civillian_Vrana</t>
  </si>
  <si>
    <t>class Exile_Chopper_Hummingbird_Civillian_Wasp</t>
  </si>
  <si>
    <t>class Exile_Chopper_Hummingbird_Civillian_Wave</t>
  </si>
  <si>
    <t>class Exile_Plane_Cessna</t>
  </si>
  <si>
    <t>Cessna</t>
  </si>
  <si>
    <t>MILITARY AIRCRAFT</t>
  </si>
  <si>
    <t>class Exile_Chopper_Taru_Transport_CSAT</t>
  </si>
  <si>
    <t>class Exile_Chopper_Taru_Transport_Black</t>
  </si>
  <si>
    <t>class Exile_Chopper_Hummingbird_Green</t>
  </si>
  <si>
    <t>class Exile_Chopper_Hellcat_Green</t>
  </si>
  <si>
    <t>class Exile_Chopper_Hellcat_FIA</t>
  </si>
  <si>
    <t>class Exile_Chopper_Orca_CSAT</t>
  </si>
  <si>
    <t>class Exile_Chopper_Orca_Black</t>
  </si>
  <si>
    <t>class Exile_Chopper_Orca_BlackCustom</t>
  </si>
  <si>
    <t>class Exile_Chopper_Taru_CSAT</t>
  </si>
  <si>
    <t>class Exile_Chopper_Taru_Black</t>
  </si>
  <si>
    <t>class Exile_Chopper_Taru_Covered_CSAT</t>
  </si>
  <si>
    <t>class Exile_Chopper_Taru_Covered_Black</t>
  </si>
  <si>
    <t>class Exile_Chopper_Mohawk_FIA</t>
  </si>
  <si>
    <t>class Exile_Chopper_Huron_Black</t>
  </si>
  <si>
    <t>class Exile_Chopper_Huron_Green</t>
  </si>
  <si>
    <t>WATERCRAFT</t>
  </si>
  <si>
    <t>class Exile_Boat_RubberDuck_CSAT</t>
  </si>
  <si>
    <t>class Exile_Boat_RubberDuck_Digital</t>
  </si>
  <si>
    <t>class Exile_Boat_RubberDuck_Orange</t>
  </si>
  <si>
    <t>class Exile_Boat_RubberDuck_Blue</t>
  </si>
  <si>
    <t>class Exile_Boat_RubberDuck_Black</t>
  </si>
  <si>
    <t>class Exile_Boat_MotorBoat_Police</t>
  </si>
  <si>
    <t>class Exile_Boat_MotorBoat_Orange</t>
  </si>
  <si>
    <t>class Exile_Boat_MotorBoat_White</t>
  </si>
  <si>
    <t>class Exile_Boat_SDV_CSAT</t>
  </si>
  <si>
    <t>class Exile_Boat_SDV_Digital</t>
  </si>
  <si>
    <t>class Exile_Boat_SDV_Grey</t>
  </si>
  <si>
    <t>// OPTICS</t>
  </si>
  <si>
    <t>// POINTER ATTACHMENTS</t>
  </si>
  <si>
    <t>// BIPODS</t>
  </si>
  <si>
    <t>// SUPPRESSORS</t>
  </si>
  <si>
    <t>// UAVS</t>
  </si>
  <si>
    <t>// STATIC MGS</t>
  </si>
  <si>
    <t>// HARDWARE</t>
  </si>
  <si>
    <t>// TOOLS</t>
  </si>
  <si>
    <t>// FOOD</t>
  </si>
  <si>
    <t>// DRINKS</t>
  </si>
  <si>
    <t>// FIRST AID</t>
  </si>
  <si>
    <t>// NAVIGATION</t>
  </si>
  <si>
    <t>// REBREATHERS</t>
  </si>
  <si>
    <t>// FLARES</t>
  </si>
  <si>
    <t>// SMOKES</t>
  </si>
  <si>
    <t>// EXPLOSIVES</t>
  </si>
  <si>
    <t>// BIKES</t>
  </si>
  <si>
    <t>// KARTS</t>
  </si>
  <si>
    <t>// QUADS</t>
  </si>
  <si>
    <t>// LADAS</t>
  </si>
  <si>
    <t>// VOLHAS</t>
  </si>
  <si>
    <t>// HATCHBACKS</t>
  </si>
  <si>
    <t>// HOT HATCHES</t>
  </si>
  <si>
    <t>// SUVS</t>
  </si>
  <si>
    <t>// SUV XL</t>
  </si>
  <si>
    <t>// OFFROADS</t>
  </si>
  <si>
    <t>// REPAIR OFFROADS</t>
  </si>
  <si>
    <t>// VANS</t>
  </si>
  <si>
    <t>// BOX VANS</t>
  </si>
  <si>
    <t>// FUEL VANS</t>
  </si>
  <si>
    <t>// BUSES</t>
  </si>
  <si>
    <t>// OPEN URALS</t>
  </si>
  <si>
    <t>// COVERED URALS</t>
  </si>
  <si>
    <t>// ARMED OFFROADS</t>
  </si>
  <si>
    <t>// MILITARY TRANSPORT</t>
  </si>
  <si>
    <t>// ARMORED CARS</t>
  </si>
  <si>
    <t>// CIVILIAN AIRCRAFT</t>
  </si>
  <si>
    <t>// MILITARY CHOPPERS</t>
  </si>
  <si>
    <t>// WATERCRAFT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</si>
</sst>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b/>
    </font>
    <font>
      <b/>
      <i/>
    </font>
    <font>
      <b/>
      <sz val="10.0"/>
      <color rgb="FF000000"/>
      <name val="Arial"/>
    </font>
    <font>
      <b/>
      <color rgb="FF000000"/>
      <name val="Arial"/>
    </font>
    <font>
      <b/>
      <name val="Arial"/>
    </font>
    <font>
      <color rgb="FF000000"/>
      <name val="Arial"/>
    </font>
    <font>
      <name val="Arial"/>
    </font>
    <font>
      <b/>
      <sz val="12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64D79"/>
        <bgColor rgb="FFA64D79"/>
      </patternFill>
    </fill>
    <fill>
      <patternFill patternType="solid">
        <fgColor rgb="FFB7E1CD"/>
        <bgColor rgb="FFB7E1CD"/>
      </patternFill>
    </fill>
  </fills>
  <borders count="11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/>
    </xf>
    <xf borderId="0" fillId="2" fontId="1" numFmtId="0" xfId="0" applyFill="1" applyFont="1"/>
    <xf borderId="0" fillId="0" fontId="2" numFmtId="0" xfId="0" applyFont="1"/>
    <xf borderId="0" fillId="0" fontId="1" numFmtId="0" xfId="0" applyFont="1"/>
    <xf borderId="0" fillId="2" fontId="1" numFmtId="0" xfId="0" applyFont="1"/>
    <xf borderId="0" fillId="2" fontId="3" numFmtId="0" xfId="0" applyAlignment="1" applyFont="1">
      <alignment horizontal="center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" xfId="0" applyAlignment="1" applyFont="1" applyNumberFormat="1">
      <alignment/>
    </xf>
    <xf borderId="0" fillId="0" fontId="2" numFmtId="3" xfId="0" applyAlignment="1" applyFont="1" applyNumberFormat="1">
      <alignment/>
    </xf>
    <xf borderId="1" fillId="3" fontId="4" numFmtId="0" xfId="0" applyAlignment="1" applyBorder="1" applyFill="1" applyFont="1">
      <alignment horizontal="center"/>
    </xf>
    <xf borderId="2" fillId="0" fontId="1" numFmtId="0" xfId="0" applyBorder="1" applyFont="1"/>
    <xf borderId="0" fillId="0" fontId="2" numFmtId="2" xfId="0" applyAlignment="1" applyFont="1" applyNumberFormat="1">
      <alignment/>
    </xf>
    <xf borderId="3" fillId="4" fontId="2" numFmtId="0" xfId="0" applyAlignment="1" applyBorder="1" applyFill="1" applyFont="1">
      <alignment horizontal="left"/>
    </xf>
    <xf borderId="0" fillId="0" fontId="3" numFmtId="0" xfId="0" applyAlignment="1" applyFont="1">
      <alignment/>
    </xf>
    <xf borderId="3" fillId="5" fontId="2" numFmtId="0" xfId="0" applyAlignment="1" applyBorder="1" applyFill="1" applyFont="1">
      <alignment horizontal="left" wrapText="1"/>
    </xf>
    <xf borderId="0" fillId="0" fontId="1" numFmtId="3" xfId="0" applyFont="1" applyNumberFormat="1"/>
    <xf borderId="0" fillId="0" fontId="1" numFmtId="2" xfId="0" applyFont="1" applyNumberFormat="1"/>
    <xf borderId="0" fillId="0" fontId="4" numFmtId="0" xfId="0" applyFont="1"/>
    <xf borderId="0" fillId="0" fontId="2" numFmtId="0" xfId="0" applyFont="1"/>
    <xf borderId="0" fillId="0" fontId="1" numFmtId="1" xfId="0" applyFont="1" applyNumberFormat="1"/>
    <xf borderId="0" fillId="0" fontId="1" numFmtId="1" xfId="0" applyAlignment="1" applyFont="1" applyNumberFormat="1">
      <alignment/>
    </xf>
    <xf borderId="0" fillId="0" fontId="0" numFmtId="0" xfId="0" applyFont="1"/>
    <xf borderId="0" fillId="0" fontId="5" numFmtId="0" xfId="0" applyAlignment="1" applyFont="1">
      <alignment/>
    </xf>
    <xf borderId="0" fillId="0" fontId="1" numFmtId="2" xfId="0" applyAlignment="1" applyFont="1" applyNumberFormat="1">
      <alignment/>
    </xf>
    <xf borderId="0" fillId="0" fontId="6" numFmtId="0" xfId="0" applyAlignment="1" applyFont="1">
      <alignment/>
    </xf>
    <xf borderId="0" fillId="0" fontId="7" numFmtId="1" xfId="0" applyAlignment="1" applyFont="1" applyNumberFormat="1">
      <alignment horizontal="right"/>
    </xf>
    <xf borderId="0" fillId="0" fontId="0" numFmtId="0" xfId="0" applyFont="1"/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center"/>
    </xf>
    <xf borderId="0" fillId="0" fontId="7" numFmtId="1" xfId="0" applyAlignment="1" applyFont="1" applyNumberFormat="1">
      <alignment horizontal="right"/>
    </xf>
    <xf borderId="0" fillId="0" fontId="6" numFmtId="0" xfId="0" applyAlignment="1" applyFont="1">
      <alignment/>
    </xf>
    <xf borderId="0" fillId="0" fontId="7" numFmtId="0" xfId="0" applyAlignment="1" applyFont="1">
      <alignment horizontal="right"/>
    </xf>
    <xf borderId="0" fillId="6" fontId="7" numFmtId="1" xfId="0" applyAlignment="1" applyFill="1" applyFont="1" applyNumberFormat="1">
      <alignment horizontal="right"/>
    </xf>
    <xf borderId="0" fillId="0" fontId="5" numFmtId="0" xfId="0" applyAlignment="1" applyFont="1">
      <alignment/>
    </xf>
    <xf borderId="0" fillId="0" fontId="8" numFmtId="1" xfId="0" applyAlignment="1" applyFont="1" applyNumberFormat="1">
      <alignment/>
    </xf>
    <xf borderId="0" fillId="0" fontId="0" numFmtId="0" xfId="0" applyAlignment="1" applyFont="1">
      <alignment/>
    </xf>
    <xf borderId="0" fillId="6" fontId="7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/>
    </xf>
    <xf borderId="0" fillId="0" fontId="8" numFmtId="0" xfId="0" applyAlignment="1" applyFont="1">
      <alignment/>
    </xf>
    <xf borderId="0" fillId="0" fontId="6" numFmtId="0" xfId="0" applyAlignment="1" applyFont="1">
      <alignment horizontal="right"/>
    </xf>
    <xf borderId="0" fillId="0" fontId="6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6" fontId="0" numFmtId="0" xfId="0" applyFont="1"/>
    <xf borderId="0" fillId="0" fontId="4" numFmtId="0" xfId="0" applyAlignment="1" applyFont="1">
      <alignment/>
    </xf>
    <xf borderId="0" fillId="0" fontId="4" numFmtId="1" xfId="0" applyFont="1" applyNumberFormat="1"/>
    <xf borderId="4" fillId="0" fontId="4" numFmtId="0" xfId="0" applyBorder="1" applyFont="1"/>
    <xf borderId="5" fillId="0" fontId="0" numFmtId="0" xfId="0" applyBorder="1" applyFont="1"/>
    <xf borderId="6" fillId="0" fontId="0" numFmtId="0" xfId="0" applyBorder="1" applyFont="1"/>
    <xf borderId="7" fillId="0" fontId="0" numFmtId="0" xfId="0" applyBorder="1" applyFont="1"/>
    <xf borderId="8" fillId="0" fontId="0" numFmtId="0" xfId="0" applyBorder="1" applyFont="1"/>
    <xf borderId="9" fillId="0" fontId="0" numFmtId="0" xfId="0" applyBorder="1" applyFont="1"/>
    <xf borderId="0" fillId="0" fontId="4" numFmtId="0" xfId="0" applyFont="1"/>
    <xf borderId="0" fillId="0" fontId="4" numFmtId="0" xfId="0" applyAlignment="1" applyFont="1">
      <alignment horizontal="center"/>
    </xf>
    <xf borderId="10" fillId="0" fontId="4" numFmtId="0" xfId="0" applyAlignment="1" applyBorder="1" applyFont="1">
      <alignment horizontal="center"/>
    </xf>
    <xf borderId="10" fillId="6" fontId="4" numFmtId="1" xfId="0" applyAlignment="1" applyBorder="1" applyFont="1" applyNumberFormat="1">
      <alignment horizontal="center"/>
    </xf>
    <xf borderId="0" fillId="0" fontId="0" numFmtId="0" xfId="0" applyAlignment="1" applyFont="1">
      <alignment/>
    </xf>
    <xf borderId="0" fillId="0" fontId="4" numFmtId="1" xfId="0" applyAlignment="1" applyFont="1" applyNumberFormat="1">
      <alignment/>
    </xf>
    <xf borderId="0" fillId="0" fontId="0" numFmtId="0" xfId="0" applyAlignment="1" applyFont="1">
      <alignment horizontal="left"/>
    </xf>
    <xf borderId="0" fillId="0" fontId="0" numFmtId="0" xfId="0" applyAlignment="1" applyFont="1">
      <alignment horizontal="right"/>
    </xf>
    <xf borderId="0" fillId="6" fontId="0" numFmtId="0" xfId="0" applyAlignment="1" applyFont="1">
      <alignment/>
    </xf>
    <xf borderId="0" fillId="0" fontId="8" numFmtId="1" xfId="0" applyAlignment="1" applyFont="1" applyNumberFormat="1">
      <alignment horizontal="right"/>
    </xf>
    <xf borderId="10" fillId="0" fontId="4" numFmtId="1" xfId="0" applyAlignment="1" applyBorder="1" applyFont="1" applyNumberFormat="1">
      <alignment horizontal="center"/>
    </xf>
    <xf borderId="10" fillId="0" fontId="4" numFmtId="0" xfId="0" applyAlignment="1" applyBorder="1" applyFont="1">
      <alignment horizontal="center"/>
    </xf>
    <xf borderId="0" fillId="6" fontId="0" numFmtId="0" xfId="0" applyAlignment="1" applyFont="1">
      <alignment horizontal="right"/>
    </xf>
    <xf borderId="0" fillId="0" fontId="4" numFmtId="1" xfId="0" applyAlignment="1" applyFont="1" applyNumberFormat="1">
      <alignment horizontal="center"/>
    </xf>
    <xf borderId="0" fillId="0" fontId="8" numFmtId="1" xfId="0" applyAlignment="1" applyFont="1" applyNumberFormat="1">
      <alignment horizontal="right"/>
    </xf>
    <xf borderId="0" fillId="0" fontId="8" numFmtId="1" xfId="0" applyAlignment="1" applyFont="1" applyNumberFormat="1">
      <alignment/>
    </xf>
    <xf borderId="0" fillId="0" fontId="4" numFmtId="0" xfId="0" applyAlignment="1" applyFont="1">
      <alignment wrapText="1"/>
    </xf>
    <xf borderId="0" fillId="7" fontId="2" numFmtId="0" xfId="0" applyAlignment="1" applyFill="1" applyFont="1">
      <alignment horizontal="center" wrapText="1"/>
    </xf>
    <xf borderId="3" fillId="0" fontId="2" numFmtId="0" xfId="0" applyAlignment="1" applyBorder="1" applyFont="1">
      <alignment horizontal="center" wrapText="1"/>
    </xf>
    <xf borderId="0" fillId="0" fontId="1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left"/>
    </xf>
    <xf borderId="0" fillId="7" fontId="1" numFmtId="0" xfId="0" applyFont="1"/>
    <xf borderId="0" fillId="0" fontId="0" numFmtId="1" xfId="0" applyFont="1" applyNumberFormat="1"/>
    <xf borderId="0" fillId="7" fontId="1" numFmtId="0" xfId="0" applyAlignment="1" applyFont="1">
      <alignment/>
    </xf>
    <xf borderId="0" fillId="0" fontId="2" numFmtId="0" xfId="0" applyAlignment="1" applyFont="1">
      <alignment horizontal="left" wrapText="1"/>
    </xf>
    <xf borderId="3" fillId="0" fontId="1" numFmtId="0" xfId="0" applyAlignment="1" applyBorder="1" applyFont="1">
      <alignment/>
    </xf>
    <xf borderId="10" fillId="0" fontId="0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right"/>
    </xf>
    <xf borderId="0" fillId="7" fontId="0" numFmtId="0" xfId="0" applyFont="1"/>
    <xf borderId="10" fillId="0" fontId="4" numFmtId="0" xfId="0" applyBorder="1" applyFont="1"/>
    <xf borderId="0" fillId="0" fontId="8" numFmtId="0" xfId="0" applyAlignment="1" applyFont="1">
      <alignment/>
    </xf>
    <xf borderId="0" fillId="0" fontId="7" numFmtId="0" xfId="0" applyAlignment="1" applyFont="1">
      <alignment/>
    </xf>
    <xf borderId="0" fillId="0" fontId="7" numFmtId="0" xfId="0" applyAlignment="1" applyFont="1">
      <alignment/>
    </xf>
    <xf borderId="0" fillId="7" fontId="8" numFmtId="0" xfId="0" applyAlignment="1" applyFont="1">
      <alignment/>
    </xf>
    <xf borderId="0" fillId="8" fontId="8" numFmtId="0" xfId="0" applyAlignment="1" applyFill="1" applyFont="1">
      <alignment horizontal="right"/>
    </xf>
  </cellXfs>
  <cellStyles count="1">
    <cellStyle xfId="0" name="Normal" builtinId="0"/>
  </cellStyles>
  <dxfs count="9">
    <dxf>
      <font/>
      <fill>
        <patternFill patternType="solid">
          <fgColor rgb="FFD9D9D9"/>
          <bgColor rgb="FFD9D9D9"/>
        </patternFill>
      </fill>
      <alignment/>
      <border>
        <left/>
        <right/>
        <top/>
        <bottom/>
      </border>
    </dxf>
    <dxf>
      <font/>
      <fill>
        <patternFill patternType="solid">
          <fgColor rgb="FF3D85C6"/>
          <bgColor rgb="FF3D85C6"/>
        </patternFill>
      </fill>
      <alignment/>
      <border>
        <left/>
        <right/>
        <top/>
        <bottom/>
      </border>
    </dxf>
    <dxf>
      <font/>
      <fill>
        <patternFill patternType="solid">
          <fgColor rgb="FF6AA84F"/>
          <bgColor rgb="FF6AA84F"/>
        </patternFill>
      </fill>
      <alignment/>
      <border>
        <left/>
        <right/>
        <top/>
        <bottom/>
      </border>
    </dxf>
    <dxf>
      <font/>
      <fill>
        <patternFill patternType="solid">
          <fgColor rgb="FF9900FF"/>
          <bgColor rgb="FF9900FF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666666"/>
          <bgColor rgb="FF666666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6.14"/>
    <col customWidth="1" min="2" max="2" width="35.14"/>
    <col customWidth="1" min="3" max="3" width="53.14"/>
    <col customWidth="1" min="4" max="4" width="10.71"/>
    <col customWidth="1" min="5" max="5" width="10.14"/>
    <col customWidth="1" min="6" max="6" width="11.14"/>
    <col customWidth="1" min="7" max="7" width="8.86"/>
    <col customWidth="1" min="8" max="8" width="11.0"/>
    <col customWidth="1" min="9" max="11" width="10.0"/>
    <col customWidth="1" min="12" max="12" width="10.86"/>
    <col customWidth="1" min="13" max="13" width="10.14"/>
    <col customWidth="1" min="14" max="14" width="12.71"/>
  </cols>
  <sheetData>
    <row r="1" ht="13.5" customHeight="1">
      <c r="A1" s="2" t="s">
        <v>1</v>
      </c>
      <c r="B1" s="2"/>
      <c r="D1" s="7" t="s">
        <v>7</v>
      </c>
      <c r="E1" s="7" t="s">
        <v>10</v>
      </c>
      <c r="F1" s="7" t="s">
        <v>11</v>
      </c>
      <c r="G1" s="2" t="s">
        <v>12</v>
      </c>
      <c r="H1" s="8" t="s">
        <v>13</v>
      </c>
      <c r="I1" s="8" t="s">
        <v>15</v>
      </c>
      <c r="J1" s="8" t="s">
        <v>17</v>
      </c>
      <c r="K1" s="8" t="s">
        <v>18</v>
      </c>
      <c r="L1" s="8" t="s">
        <v>20</v>
      </c>
      <c r="M1" s="9" t="s">
        <v>22</v>
      </c>
      <c r="N1" s="12" t="s">
        <v>25</v>
      </c>
    </row>
    <row r="2" ht="13.5" customHeight="1">
      <c r="A2" s="14" t="s">
        <v>57</v>
      </c>
      <c r="B2" s="2"/>
      <c r="M2" s="16" t="str">
        <f t="shared" ref="M2:M3" si="1">if(D2=1,(G2*H2+K2+L2+J2)*I2,)</f>
        <v/>
      </c>
      <c r="N2" s="17" t="str">
        <f t="shared" ref="N2:N3" si="2">if(M2&gt;0,(1/M2)*10000,)</f>
        <v/>
      </c>
    </row>
    <row r="3" ht="13.5" customHeight="1">
      <c r="A3" s="7" t="s">
        <v>94</v>
      </c>
      <c r="B3" s="19"/>
      <c r="C3" s="3"/>
      <c r="H3" s="20"/>
      <c r="I3" s="20"/>
      <c r="J3" s="21"/>
      <c r="K3" s="21"/>
      <c r="L3" s="21"/>
      <c r="M3" s="16" t="str">
        <f t="shared" si="1"/>
        <v/>
      </c>
      <c r="N3" s="17" t="str">
        <f t="shared" si="2"/>
        <v/>
      </c>
    </row>
    <row r="4" ht="13.5" customHeight="1">
      <c r="A4" s="2"/>
      <c r="B4" s="2"/>
      <c r="C4" s="3"/>
      <c r="D4" s="7" t="s">
        <v>7</v>
      </c>
      <c r="E4" s="7" t="s">
        <v>10</v>
      </c>
      <c r="F4" s="7" t="s">
        <v>11</v>
      </c>
      <c r="G4" s="2" t="s">
        <v>12</v>
      </c>
      <c r="H4" s="8" t="s">
        <v>13</v>
      </c>
      <c r="I4" s="8" t="s">
        <v>15</v>
      </c>
      <c r="J4" s="8" t="s">
        <v>17</v>
      </c>
      <c r="K4" s="8" t="s">
        <v>18</v>
      </c>
      <c r="L4" s="8" t="s">
        <v>20</v>
      </c>
      <c r="M4" s="9" t="s">
        <v>22</v>
      </c>
      <c r="N4" s="12" t="s">
        <v>25</v>
      </c>
    </row>
    <row r="5" ht="13.5" customHeight="1">
      <c r="A5" s="23" t="s">
        <v>114</v>
      </c>
      <c r="B5" s="2"/>
      <c r="H5" s="20"/>
      <c r="I5" s="20"/>
      <c r="J5" s="20"/>
      <c r="K5" s="20"/>
      <c r="L5" s="20"/>
      <c r="M5" s="16" t="str">
        <f t="shared" ref="M5:M282" si="3">if(D5=1,(G5*H5+K5+L5+(J5*2))*I5,)</f>
        <v/>
      </c>
      <c r="N5" s="24" t="str">
        <f>if(M5&gt;0,(1/M5)*10000,)</f>
        <v/>
      </c>
    </row>
    <row r="6" ht="13.5" customHeight="1">
      <c r="A6" s="25"/>
      <c r="B6" s="2"/>
      <c r="C6" s="3" t="s">
        <v>134</v>
      </c>
      <c r="D6" s="6">
        <v>1.0</v>
      </c>
      <c r="E6" s="6">
        <v>1.0</v>
      </c>
      <c r="F6" s="6">
        <v>1.0</v>
      </c>
      <c r="G6" s="6">
        <v>2.0</v>
      </c>
      <c r="H6" s="26">
        <v>160.0</v>
      </c>
      <c r="I6" s="21">
        <v>1.0</v>
      </c>
      <c r="J6" s="21"/>
      <c r="K6" s="21"/>
      <c r="L6" s="21"/>
      <c r="M6" s="16">
        <f t="shared" si="3"/>
        <v>320</v>
      </c>
      <c r="N6" s="21">
        <f t="shared" ref="N6:N282" si="4">if(M6&gt;0,round((1/(M6+100))*10000),)</f>
        <v>24</v>
      </c>
    </row>
    <row r="7" ht="13.5" customHeight="1">
      <c r="A7" s="25"/>
      <c r="B7" s="2"/>
      <c r="C7" s="3" t="s">
        <v>144</v>
      </c>
      <c r="D7" s="6">
        <v>1.0</v>
      </c>
      <c r="E7" s="6">
        <v>1.0</v>
      </c>
      <c r="F7" s="6">
        <v>1.0</v>
      </c>
      <c r="G7" s="6">
        <v>2.0</v>
      </c>
      <c r="H7" s="26">
        <v>160.0</v>
      </c>
      <c r="I7" s="21">
        <v>1.0</v>
      </c>
      <c r="J7" s="21"/>
      <c r="K7" s="21"/>
      <c r="L7" s="21"/>
      <c r="M7" s="16">
        <f t="shared" si="3"/>
        <v>320</v>
      </c>
      <c r="N7" s="21">
        <f t="shared" si="4"/>
        <v>24</v>
      </c>
    </row>
    <row r="8" ht="13.5" customHeight="1">
      <c r="A8" s="25"/>
      <c r="B8" s="2"/>
      <c r="C8" s="3" t="s">
        <v>147</v>
      </c>
      <c r="D8" s="6">
        <v>1.0</v>
      </c>
      <c r="E8" s="6">
        <v>1.0</v>
      </c>
      <c r="F8" s="6">
        <v>1.0</v>
      </c>
      <c r="G8" s="6">
        <v>2.0</v>
      </c>
      <c r="H8" s="26">
        <v>160.0</v>
      </c>
      <c r="I8" s="21">
        <v>1.0</v>
      </c>
      <c r="J8" s="21"/>
      <c r="K8" s="21"/>
      <c r="L8" s="21"/>
      <c r="M8" s="16">
        <f t="shared" si="3"/>
        <v>320</v>
      </c>
      <c r="N8" s="21">
        <f t="shared" si="4"/>
        <v>24</v>
      </c>
    </row>
    <row r="9" ht="13.5" customHeight="1">
      <c r="A9" s="25"/>
      <c r="B9" s="2"/>
      <c r="C9" s="3" t="s">
        <v>151</v>
      </c>
      <c r="D9" s="6">
        <v>1.0</v>
      </c>
      <c r="E9" s="6">
        <v>1.0</v>
      </c>
      <c r="F9" s="6">
        <v>1.0</v>
      </c>
      <c r="G9" s="6">
        <v>2.0</v>
      </c>
      <c r="H9" s="26">
        <v>160.0</v>
      </c>
      <c r="I9" s="21">
        <v>1.0</v>
      </c>
      <c r="J9" s="21"/>
      <c r="K9" s="21"/>
      <c r="L9" s="21"/>
      <c r="M9" s="16">
        <f t="shared" si="3"/>
        <v>320</v>
      </c>
      <c r="N9" s="21">
        <f t="shared" si="4"/>
        <v>24</v>
      </c>
    </row>
    <row r="10" ht="13.5" customHeight="1">
      <c r="A10" s="25"/>
      <c r="B10" s="2"/>
      <c r="C10" s="3" t="s">
        <v>158</v>
      </c>
      <c r="D10" s="6">
        <v>1.0</v>
      </c>
      <c r="E10" s="6">
        <v>1.0</v>
      </c>
      <c r="F10" s="6">
        <v>1.0</v>
      </c>
      <c r="G10" s="6">
        <v>2.0</v>
      </c>
      <c r="H10" s="26">
        <v>160.0</v>
      </c>
      <c r="I10" s="21">
        <v>1.0</v>
      </c>
      <c r="J10" s="21"/>
      <c r="K10" s="21"/>
      <c r="L10" s="21"/>
      <c r="M10" s="16">
        <f t="shared" si="3"/>
        <v>320</v>
      </c>
      <c r="N10" s="21">
        <f t="shared" si="4"/>
        <v>24</v>
      </c>
    </row>
    <row r="11" ht="13.5" customHeight="1">
      <c r="A11" s="25"/>
      <c r="B11" s="2"/>
      <c r="C11" s="3" t="s">
        <v>159</v>
      </c>
      <c r="D11" s="6">
        <v>1.0</v>
      </c>
      <c r="E11" s="6">
        <v>1.0</v>
      </c>
      <c r="F11" s="6">
        <v>1.0</v>
      </c>
      <c r="G11" s="6">
        <v>2.0</v>
      </c>
      <c r="H11" s="26">
        <v>160.0</v>
      </c>
      <c r="I11" s="21">
        <v>1.0</v>
      </c>
      <c r="J11" s="21"/>
      <c r="K11" s="21"/>
      <c r="L11" s="21"/>
      <c r="M11" s="16">
        <f t="shared" si="3"/>
        <v>320</v>
      </c>
      <c r="N11" s="21">
        <f t="shared" si="4"/>
        <v>24</v>
      </c>
    </row>
    <row r="12" ht="13.5" customHeight="1">
      <c r="A12" s="25"/>
      <c r="B12" s="2"/>
      <c r="C12" s="3" t="s">
        <v>160</v>
      </c>
      <c r="D12" s="6">
        <v>1.0</v>
      </c>
      <c r="E12" s="6">
        <v>1.0</v>
      </c>
      <c r="F12" s="6">
        <v>1.0</v>
      </c>
      <c r="G12" s="6">
        <v>2.0</v>
      </c>
      <c r="H12" s="26">
        <v>160.0</v>
      </c>
      <c r="I12" s="21">
        <v>1.0</v>
      </c>
      <c r="J12" s="21"/>
      <c r="K12" s="21"/>
      <c r="L12" s="21"/>
      <c r="M12" s="16">
        <f t="shared" si="3"/>
        <v>320</v>
      </c>
      <c r="N12" s="21">
        <f t="shared" si="4"/>
        <v>24</v>
      </c>
    </row>
    <row r="13" ht="13.5" customHeight="1">
      <c r="A13" s="25"/>
      <c r="B13" s="2"/>
      <c r="C13" s="3" t="s">
        <v>161</v>
      </c>
      <c r="D13" s="6">
        <v>1.0</v>
      </c>
      <c r="E13" s="6">
        <v>1.0</v>
      </c>
      <c r="F13" s="6">
        <v>1.0</v>
      </c>
      <c r="G13" s="6">
        <v>2.0</v>
      </c>
      <c r="H13" s="26">
        <v>200.0</v>
      </c>
      <c r="I13" s="21">
        <v>1.0</v>
      </c>
      <c r="J13" s="21"/>
      <c r="K13" s="21"/>
      <c r="L13" s="21"/>
      <c r="M13" s="16">
        <f t="shared" si="3"/>
        <v>400</v>
      </c>
      <c r="N13" s="21">
        <f t="shared" si="4"/>
        <v>20</v>
      </c>
    </row>
    <row r="14" ht="13.5" customHeight="1">
      <c r="A14" s="25"/>
      <c r="B14" s="2"/>
      <c r="C14" s="3" t="s">
        <v>162</v>
      </c>
      <c r="D14" s="6">
        <v>1.0</v>
      </c>
      <c r="E14" s="6">
        <v>1.0</v>
      </c>
      <c r="F14" s="6">
        <v>1.0</v>
      </c>
      <c r="G14" s="6">
        <v>2.0</v>
      </c>
      <c r="H14" s="26">
        <v>200.0</v>
      </c>
      <c r="I14" s="21">
        <v>1.0</v>
      </c>
      <c r="J14" s="21"/>
      <c r="K14" s="21"/>
      <c r="L14" s="21"/>
      <c r="M14" s="16">
        <f t="shared" si="3"/>
        <v>400</v>
      </c>
      <c r="N14" s="21">
        <f t="shared" si="4"/>
        <v>20</v>
      </c>
    </row>
    <row r="15" ht="13.5" customHeight="1">
      <c r="A15" s="25"/>
      <c r="B15" s="2"/>
      <c r="C15" s="3" t="s">
        <v>163</v>
      </c>
      <c r="D15" s="6">
        <v>1.0</v>
      </c>
      <c r="E15" s="6">
        <v>1.0</v>
      </c>
      <c r="F15" s="6">
        <v>1.0</v>
      </c>
      <c r="G15" s="6">
        <v>2.0</v>
      </c>
      <c r="H15" s="26">
        <v>200.0</v>
      </c>
      <c r="I15" s="21">
        <v>1.0</v>
      </c>
      <c r="J15" s="21"/>
      <c r="K15" s="21"/>
      <c r="L15" s="21"/>
      <c r="M15" s="16">
        <f t="shared" si="3"/>
        <v>400</v>
      </c>
      <c r="N15" s="21">
        <f t="shared" si="4"/>
        <v>20</v>
      </c>
    </row>
    <row r="16" ht="13.5" customHeight="1">
      <c r="A16" s="25"/>
      <c r="B16" s="2"/>
      <c r="C16" s="3" t="s">
        <v>164</v>
      </c>
      <c r="D16" s="6">
        <v>1.0</v>
      </c>
      <c r="E16" s="6">
        <v>1.0</v>
      </c>
      <c r="F16" s="6">
        <v>1.0</v>
      </c>
      <c r="G16" s="6">
        <v>2.0</v>
      </c>
      <c r="H16" s="26">
        <v>200.0</v>
      </c>
      <c r="I16" s="21">
        <v>1.0</v>
      </c>
      <c r="J16" s="21"/>
      <c r="K16" s="21"/>
      <c r="L16" s="21"/>
      <c r="M16" s="16">
        <f t="shared" si="3"/>
        <v>400</v>
      </c>
      <c r="N16" s="21">
        <f t="shared" si="4"/>
        <v>20</v>
      </c>
    </row>
    <row r="17" ht="13.5" customHeight="1">
      <c r="A17" s="25"/>
      <c r="B17" s="2"/>
      <c r="C17" s="3" t="s">
        <v>165</v>
      </c>
      <c r="D17" s="6">
        <v>1.0</v>
      </c>
      <c r="E17" s="6">
        <v>1.0</v>
      </c>
      <c r="F17" s="6">
        <v>1.0</v>
      </c>
      <c r="G17" s="6">
        <v>2.0</v>
      </c>
      <c r="H17" s="26">
        <v>240.0</v>
      </c>
      <c r="I17" s="21">
        <v>1.0</v>
      </c>
      <c r="J17" s="21"/>
      <c r="K17" s="21"/>
      <c r="L17" s="21"/>
      <c r="M17" s="16">
        <f t="shared" si="3"/>
        <v>480</v>
      </c>
      <c r="N17" s="21">
        <f t="shared" si="4"/>
        <v>17</v>
      </c>
    </row>
    <row r="18" ht="13.5" customHeight="1">
      <c r="A18" s="25"/>
      <c r="B18" s="2"/>
      <c r="C18" s="3" t="s">
        <v>166</v>
      </c>
      <c r="D18" s="6">
        <v>1.0</v>
      </c>
      <c r="E18" s="6">
        <v>1.0</v>
      </c>
      <c r="F18" s="6">
        <v>1.0</v>
      </c>
      <c r="G18" s="6">
        <v>2.0</v>
      </c>
      <c r="H18" s="26">
        <v>240.0</v>
      </c>
      <c r="I18" s="21">
        <v>1.0</v>
      </c>
      <c r="J18" s="21"/>
      <c r="K18" s="21"/>
      <c r="L18" s="21"/>
      <c r="M18" s="16">
        <f t="shared" si="3"/>
        <v>480</v>
      </c>
      <c r="N18" s="21">
        <f t="shared" si="4"/>
        <v>17</v>
      </c>
    </row>
    <row r="19" ht="13.5" customHeight="1">
      <c r="A19" s="25"/>
      <c r="B19" s="2"/>
      <c r="C19" s="3" t="s">
        <v>167</v>
      </c>
      <c r="D19" s="6">
        <v>1.0</v>
      </c>
      <c r="E19" s="6">
        <v>1.0</v>
      </c>
      <c r="F19" s="6">
        <v>1.0</v>
      </c>
      <c r="G19" s="6">
        <v>2.0</v>
      </c>
      <c r="H19" s="26">
        <v>240.0</v>
      </c>
      <c r="I19" s="21">
        <v>1.0</v>
      </c>
      <c r="J19" s="21"/>
      <c r="K19" s="21"/>
      <c r="L19" s="21"/>
      <c r="M19" s="16">
        <f t="shared" si="3"/>
        <v>480</v>
      </c>
      <c r="N19" s="21">
        <f t="shared" si="4"/>
        <v>17</v>
      </c>
    </row>
    <row r="20" ht="13.5" customHeight="1">
      <c r="A20" s="25"/>
      <c r="B20" s="2"/>
      <c r="C20" s="3" t="s">
        <v>168</v>
      </c>
      <c r="D20" s="6">
        <v>1.0</v>
      </c>
      <c r="E20" s="6">
        <v>1.0</v>
      </c>
      <c r="F20" s="6">
        <v>1.0</v>
      </c>
      <c r="G20" s="6">
        <v>2.0</v>
      </c>
      <c r="H20" s="26">
        <v>240.0</v>
      </c>
      <c r="I20" s="21">
        <v>1.0</v>
      </c>
      <c r="J20" s="21"/>
      <c r="K20" s="21"/>
      <c r="L20" s="21"/>
      <c r="M20" s="16">
        <f t="shared" si="3"/>
        <v>480</v>
      </c>
      <c r="N20" s="21">
        <f t="shared" si="4"/>
        <v>17</v>
      </c>
    </row>
    <row r="21" ht="13.5" customHeight="1">
      <c r="A21" s="25"/>
      <c r="B21" s="2"/>
      <c r="C21" s="3" t="s">
        <v>169</v>
      </c>
      <c r="D21" s="6">
        <v>1.0</v>
      </c>
      <c r="E21" s="6">
        <v>1.0</v>
      </c>
      <c r="F21" s="6">
        <v>1.0</v>
      </c>
      <c r="G21" s="6">
        <v>2.0</v>
      </c>
      <c r="H21" s="26">
        <v>240.0</v>
      </c>
      <c r="I21" s="21">
        <v>1.0</v>
      </c>
      <c r="J21" s="21"/>
      <c r="K21" s="21"/>
      <c r="L21" s="21"/>
      <c r="M21" s="16">
        <f t="shared" si="3"/>
        <v>480</v>
      </c>
      <c r="N21" s="21">
        <f t="shared" si="4"/>
        <v>17</v>
      </c>
    </row>
    <row r="22" ht="13.5" customHeight="1">
      <c r="A22" s="25"/>
      <c r="B22" s="2"/>
      <c r="C22" s="3" t="s">
        <v>170</v>
      </c>
      <c r="D22" s="6">
        <v>1.0</v>
      </c>
      <c r="E22" s="6">
        <v>1.0</v>
      </c>
      <c r="F22" s="6">
        <v>1.0</v>
      </c>
      <c r="G22" s="6">
        <v>3.0</v>
      </c>
      <c r="H22" s="26">
        <v>280.0</v>
      </c>
      <c r="I22" s="21">
        <v>1.0</v>
      </c>
      <c r="J22" s="21"/>
      <c r="K22" s="21"/>
      <c r="L22" s="21"/>
      <c r="M22" s="16">
        <f t="shared" si="3"/>
        <v>840</v>
      </c>
      <c r="N22" s="21">
        <f t="shared" si="4"/>
        <v>11</v>
      </c>
    </row>
    <row r="23" ht="13.5" customHeight="1">
      <c r="A23" s="25"/>
      <c r="B23" s="2"/>
      <c r="C23" s="3" t="s">
        <v>173</v>
      </c>
      <c r="D23" s="6">
        <v>1.0</v>
      </c>
      <c r="E23" s="6">
        <v>1.0</v>
      </c>
      <c r="F23" s="6">
        <v>1.0</v>
      </c>
      <c r="G23" s="6">
        <v>3.0</v>
      </c>
      <c r="H23" s="26">
        <v>280.0</v>
      </c>
      <c r="I23" s="21">
        <v>1.0</v>
      </c>
      <c r="J23" s="21"/>
      <c r="K23" s="21"/>
      <c r="L23" s="21"/>
      <c r="M23" s="16">
        <f t="shared" si="3"/>
        <v>840</v>
      </c>
      <c r="N23" s="21">
        <f t="shared" si="4"/>
        <v>11</v>
      </c>
    </row>
    <row r="24" ht="13.5" customHeight="1">
      <c r="A24" s="25"/>
      <c r="B24" s="2"/>
      <c r="C24" s="3" t="s">
        <v>181</v>
      </c>
      <c r="D24" s="6">
        <v>1.0</v>
      </c>
      <c r="E24" s="6">
        <v>1.0</v>
      </c>
      <c r="F24" s="6">
        <v>1.0</v>
      </c>
      <c r="G24" s="6">
        <v>3.0</v>
      </c>
      <c r="H24" s="26">
        <v>280.0</v>
      </c>
      <c r="I24" s="21">
        <v>1.0</v>
      </c>
      <c r="J24" s="21"/>
      <c r="K24" s="21"/>
      <c r="L24" s="21"/>
      <c r="M24" s="16">
        <f t="shared" si="3"/>
        <v>840</v>
      </c>
      <c r="N24" s="21">
        <f t="shared" si="4"/>
        <v>11</v>
      </c>
    </row>
    <row r="25" ht="13.5" customHeight="1">
      <c r="A25" s="25"/>
      <c r="B25" s="2"/>
      <c r="C25" s="3" t="s">
        <v>182</v>
      </c>
      <c r="D25" s="6">
        <v>1.0</v>
      </c>
      <c r="E25" s="6">
        <v>1.0</v>
      </c>
      <c r="F25" s="6">
        <v>1.0</v>
      </c>
      <c r="G25" s="6">
        <v>3.0</v>
      </c>
      <c r="H25" s="26">
        <v>320.0</v>
      </c>
      <c r="I25" s="21">
        <v>1.0</v>
      </c>
      <c r="J25" s="21"/>
      <c r="K25" s="21"/>
      <c r="L25" s="21"/>
      <c r="M25" s="16">
        <f t="shared" si="3"/>
        <v>960</v>
      </c>
      <c r="N25" s="21">
        <f t="shared" si="4"/>
        <v>9</v>
      </c>
    </row>
    <row r="26" ht="13.5" customHeight="1">
      <c r="A26" s="25"/>
      <c r="B26" s="2"/>
      <c r="C26" s="3" t="s">
        <v>183</v>
      </c>
      <c r="D26" s="6">
        <v>1.0</v>
      </c>
      <c r="E26" s="6">
        <v>1.0</v>
      </c>
      <c r="F26" s="6">
        <v>1.0</v>
      </c>
      <c r="G26" s="6">
        <v>3.0</v>
      </c>
      <c r="H26" s="26">
        <v>320.0</v>
      </c>
      <c r="I26" s="21">
        <v>1.0</v>
      </c>
      <c r="J26" s="21"/>
      <c r="K26" s="21"/>
      <c r="L26" s="21"/>
      <c r="M26" s="16">
        <f t="shared" si="3"/>
        <v>960</v>
      </c>
      <c r="N26" s="21">
        <f t="shared" si="4"/>
        <v>9</v>
      </c>
    </row>
    <row r="27" ht="13.5" customHeight="1">
      <c r="A27" s="25"/>
      <c r="B27" s="2"/>
      <c r="C27" s="3" t="s">
        <v>184</v>
      </c>
      <c r="D27" s="6">
        <v>1.0</v>
      </c>
      <c r="E27" s="6">
        <v>1.0</v>
      </c>
      <c r="F27" s="6">
        <v>1.0</v>
      </c>
      <c r="G27" s="6">
        <v>3.0</v>
      </c>
      <c r="H27" s="26">
        <v>320.0</v>
      </c>
      <c r="I27" s="21">
        <v>1.0</v>
      </c>
      <c r="J27" s="21"/>
      <c r="K27" s="21"/>
      <c r="L27" s="21"/>
      <c r="M27" s="16">
        <f t="shared" si="3"/>
        <v>960</v>
      </c>
      <c r="N27" s="21">
        <f t="shared" si="4"/>
        <v>9</v>
      </c>
    </row>
    <row r="28" ht="13.5" customHeight="1">
      <c r="A28" s="25"/>
      <c r="B28" s="2"/>
      <c r="C28" s="3" t="s">
        <v>189</v>
      </c>
      <c r="D28" s="6">
        <v>1.0</v>
      </c>
      <c r="E28" s="6">
        <v>1.0</v>
      </c>
      <c r="F28" s="6">
        <v>1.0</v>
      </c>
      <c r="G28" s="6">
        <v>3.0</v>
      </c>
      <c r="H28" s="26">
        <v>320.0</v>
      </c>
      <c r="I28" s="21">
        <v>1.0</v>
      </c>
      <c r="J28" s="21"/>
      <c r="K28" s="21"/>
      <c r="L28" s="21"/>
      <c r="M28" s="16">
        <f t="shared" si="3"/>
        <v>960</v>
      </c>
      <c r="N28" s="21">
        <f t="shared" si="4"/>
        <v>9</v>
      </c>
    </row>
    <row r="29" ht="13.5" customHeight="1">
      <c r="A29" s="25"/>
      <c r="B29" s="2"/>
      <c r="C29" s="3" t="s">
        <v>193</v>
      </c>
      <c r="D29" s="6">
        <v>1.0</v>
      </c>
      <c r="E29" s="6">
        <v>1.0</v>
      </c>
      <c r="F29" s="6">
        <v>1.0</v>
      </c>
      <c r="G29" s="6">
        <v>3.0</v>
      </c>
      <c r="H29" s="26">
        <v>320.0</v>
      </c>
      <c r="I29" s="21">
        <v>1.0</v>
      </c>
      <c r="J29" s="21"/>
      <c r="K29" s="21"/>
      <c r="L29" s="21"/>
      <c r="M29" s="16">
        <f t="shared" si="3"/>
        <v>960</v>
      </c>
      <c r="N29" s="21">
        <f t="shared" si="4"/>
        <v>9</v>
      </c>
    </row>
    <row r="30" ht="13.5" customHeight="1">
      <c r="A30" s="25"/>
      <c r="B30" s="2"/>
      <c r="C30" s="3" t="s">
        <v>198</v>
      </c>
      <c r="D30" s="6">
        <v>1.0</v>
      </c>
      <c r="E30" s="6">
        <v>1.0</v>
      </c>
      <c r="F30" s="6">
        <v>1.0</v>
      </c>
      <c r="G30" s="6">
        <v>3.0</v>
      </c>
      <c r="H30" s="26">
        <v>320.0</v>
      </c>
      <c r="I30" s="21">
        <v>1.0</v>
      </c>
      <c r="J30" s="21"/>
      <c r="K30" s="21"/>
      <c r="L30" s="21"/>
      <c r="M30" s="16">
        <f t="shared" si="3"/>
        <v>960</v>
      </c>
      <c r="N30" s="21">
        <f t="shared" si="4"/>
        <v>9</v>
      </c>
    </row>
    <row r="31" ht="13.5" customHeight="1">
      <c r="A31" s="25"/>
      <c r="B31" s="2"/>
      <c r="C31" s="3" t="s">
        <v>199</v>
      </c>
      <c r="D31" s="6">
        <v>1.0</v>
      </c>
      <c r="E31" s="6">
        <v>1.0</v>
      </c>
      <c r="F31" s="6">
        <v>1.0</v>
      </c>
      <c r="G31" s="6">
        <v>3.0</v>
      </c>
      <c r="H31" s="26">
        <v>280.0</v>
      </c>
      <c r="I31" s="21">
        <v>1.0</v>
      </c>
      <c r="J31" s="21"/>
      <c r="K31" s="21"/>
      <c r="L31" s="21"/>
      <c r="M31" s="16">
        <f t="shared" si="3"/>
        <v>840</v>
      </c>
      <c r="N31" s="21">
        <f t="shared" si="4"/>
        <v>11</v>
      </c>
    </row>
    <row r="32" ht="13.5" customHeight="1">
      <c r="A32" s="25"/>
      <c r="B32" s="2"/>
      <c r="C32" s="3" t="s">
        <v>200</v>
      </c>
      <c r="D32" s="6">
        <v>1.0</v>
      </c>
      <c r="E32" s="6">
        <v>1.0</v>
      </c>
      <c r="F32" s="6">
        <v>1.0</v>
      </c>
      <c r="G32" s="6">
        <v>3.0</v>
      </c>
      <c r="H32" s="26">
        <v>280.0</v>
      </c>
      <c r="I32" s="21">
        <v>1.0</v>
      </c>
      <c r="J32" s="21"/>
      <c r="K32" s="21"/>
      <c r="L32" s="21"/>
      <c r="M32" s="16">
        <f t="shared" si="3"/>
        <v>840</v>
      </c>
      <c r="N32" s="21">
        <f t="shared" si="4"/>
        <v>11</v>
      </c>
    </row>
    <row r="33" ht="13.5" customHeight="1">
      <c r="A33" s="25"/>
      <c r="B33" s="2"/>
      <c r="C33" s="3" t="s">
        <v>202</v>
      </c>
      <c r="D33" s="6">
        <v>1.0</v>
      </c>
      <c r="E33" s="6">
        <v>1.0</v>
      </c>
      <c r="F33" s="6">
        <v>1.0</v>
      </c>
      <c r="G33" s="6">
        <v>3.0</v>
      </c>
      <c r="H33" s="26">
        <v>280.0</v>
      </c>
      <c r="I33" s="21">
        <v>1.0</v>
      </c>
      <c r="J33" s="21"/>
      <c r="K33" s="21"/>
      <c r="L33" s="21"/>
      <c r="M33" s="16">
        <f t="shared" si="3"/>
        <v>840</v>
      </c>
      <c r="N33" s="21">
        <f t="shared" si="4"/>
        <v>11</v>
      </c>
    </row>
    <row r="34" ht="13.5" customHeight="1">
      <c r="A34" s="25"/>
      <c r="B34" s="2"/>
      <c r="C34" s="3" t="s">
        <v>205</v>
      </c>
      <c r="D34" s="6">
        <v>1.0</v>
      </c>
      <c r="E34" s="6">
        <v>1.0</v>
      </c>
      <c r="F34" s="6">
        <v>1.0</v>
      </c>
      <c r="G34" s="6">
        <v>3.0</v>
      </c>
      <c r="H34" s="26">
        <v>280.0</v>
      </c>
      <c r="I34" s="21">
        <v>1.0</v>
      </c>
      <c r="J34" s="21"/>
      <c r="K34" s="21"/>
      <c r="L34" s="21"/>
      <c r="M34" s="16">
        <f t="shared" si="3"/>
        <v>840</v>
      </c>
      <c r="N34" s="21">
        <f t="shared" si="4"/>
        <v>11</v>
      </c>
    </row>
    <row r="35" ht="13.5" customHeight="1">
      <c r="A35" s="25"/>
      <c r="B35" s="2"/>
      <c r="C35" s="3" t="s">
        <v>186</v>
      </c>
      <c r="D35" s="6">
        <v>1.0</v>
      </c>
      <c r="E35" s="6">
        <v>1.0</v>
      </c>
      <c r="F35" s="6">
        <v>1.0</v>
      </c>
      <c r="G35" s="6">
        <v>1.0</v>
      </c>
      <c r="H35" s="26">
        <v>120.0</v>
      </c>
      <c r="I35" s="21">
        <v>1.0</v>
      </c>
      <c r="J35" s="21"/>
      <c r="K35" s="21"/>
      <c r="L35" s="21"/>
      <c r="M35" s="16">
        <f t="shared" si="3"/>
        <v>120</v>
      </c>
      <c r="N35" s="21">
        <f t="shared" si="4"/>
        <v>45</v>
      </c>
    </row>
    <row r="36" ht="13.5" customHeight="1">
      <c r="A36" s="25"/>
      <c r="B36" s="2"/>
      <c r="C36" s="3" t="s">
        <v>188</v>
      </c>
      <c r="D36" s="6">
        <v>1.0</v>
      </c>
      <c r="E36" s="6">
        <v>1.0</v>
      </c>
      <c r="F36" s="6">
        <v>1.0</v>
      </c>
      <c r="G36" s="6">
        <v>1.0</v>
      </c>
      <c r="H36" s="26">
        <v>120.0</v>
      </c>
      <c r="I36" s="21">
        <v>1.0</v>
      </c>
      <c r="J36" s="21"/>
      <c r="K36" s="21"/>
      <c r="L36" s="21"/>
      <c r="M36" s="16">
        <f t="shared" si="3"/>
        <v>120</v>
      </c>
      <c r="N36" s="21">
        <f t="shared" si="4"/>
        <v>45</v>
      </c>
    </row>
    <row r="37" ht="13.5" customHeight="1">
      <c r="A37" s="25"/>
      <c r="B37" s="2"/>
      <c r="C37" s="3" t="s">
        <v>191</v>
      </c>
      <c r="D37" s="6">
        <v>1.0</v>
      </c>
      <c r="E37" s="6">
        <v>1.0</v>
      </c>
      <c r="F37" s="6">
        <v>1.0</v>
      </c>
      <c r="G37" s="6">
        <v>1.0</v>
      </c>
      <c r="H37" s="26">
        <v>120.0</v>
      </c>
      <c r="I37" s="21">
        <v>1.0</v>
      </c>
      <c r="J37" s="21"/>
      <c r="K37" s="21"/>
      <c r="L37" s="21"/>
      <c r="M37" s="16">
        <f t="shared" si="3"/>
        <v>120</v>
      </c>
      <c r="N37" s="21">
        <f t="shared" si="4"/>
        <v>45</v>
      </c>
    </row>
    <row r="38" ht="13.5" customHeight="1">
      <c r="A38" s="25"/>
      <c r="B38" s="2"/>
      <c r="C38" s="3" t="s">
        <v>194</v>
      </c>
      <c r="D38" s="6">
        <v>1.0</v>
      </c>
      <c r="E38" s="6">
        <v>1.0</v>
      </c>
      <c r="F38" s="6">
        <v>1.0</v>
      </c>
      <c r="G38" s="6">
        <v>1.0</v>
      </c>
      <c r="H38" s="26">
        <v>120.0</v>
      </c>
      <c r="I38" s="21">
        <v>1.0</v>
      </c>
      <c r="J38" s="21"/>
      <c r="K38" s="21"/>
      <c r="L38" s="21"/>
      <c r="M38" s="16">
        <f t="shared" si="3"/>
        <v>120</v>
      </c>
      <c r="N38" s="21">
        <f t="shared" si="4"/>
        <v>45</v>
      </c>
    </row>
    <row r="39" ht="13.5" customHeight="1">
      <c r="A39" s="25"/>
      <c r="B39" s="2"/>
      <c r="C39" s="3" t="s">
        <v>218</v>
      </c>
      <c r="D39" s="6">
        <v>1.0</v>
      </c>
      <c r="E39" s="6">
        <v>1.0</v>
      </c>
      <c r="F39" s="6">
        <v>1.0</v>
      </c>
      <c r="G39" s="6">
        <v>3.0</v>
      </c>
      <c r="H39" s="21">
        <v>500.0</v>
      </c>
      <c r="I39" s="21">
        <v>1.0</v>
      </c>
      <c r="J39" s="21"/>
      <c r="K39" s="21"/>
      <c r="L39" s="21"/>
      <c r="M39" s="16">
        <f t="shared" si="3"/>
        <v>1500</v>
      </c>
      <c r="N39" s="21">
        <f t="shared" si="4"/>
        <v>6</v>
      </c>
    </row>
    <row r="40" ht="13.5" customHeight="1">
      <c r="A40" s="25"/>
      <c r="B40" s="2"/>
      <c r="C40" s="3" t="s">
        <v>220</v>
      </c>
      <c r="D40" s="6">
        <v>1.0</v>
      </c>
      <c r="E40" s="6">
        <v>1.0</v>
      </c>
      <c r="F40" s="6">
        <v>1.0</v>
      </c>
      <c r="G40" s="6">
        <v>3.0</v>
      </c>
      <c r="H40" s="21">
        <v>500.0</v>
      </c>
      <c r="I40" s="21">
        <v>1.0</v>
      </c>
      <c r="J40" s="21"/>
      <c r="K40" s="21"/>
      <c r="L40" s="21"/>
      <c r="M40" s="16">
        <f t="shared" si="3"/>
        <v>1500</v>
      </c>
      <c r="N40" s="21">
        <f t="shared" si="4"/>
        <v>6</v>
      </c>
    </row>
    <row r="41" ht="13.5" customHeight="1">
      <c r="A41" s="25"/>
      <c r="B41" s="2"/>
      <c r="C41" s="3" t="s">
        <v>223</v>
      </c>
      <c r="D41" s="6">
        <v>1.0</v>
      </c>
      <c r="E41" s="6">
        <v>1.0</v>
      </c>
      <c r="F41" s="6">
        <v>1.0</v>
      </c>
      <c r="G41" s="6">
        <v>3.0</v>
      </c>
      <c r="H41" s="21">
        <v>500.0</v>
      </c>
      <c r="I41" s="21">
        <v>1.0</v>
      </c>
      <c r="J41" s="21"/>
      <c r="K41" s="21"/>
      <c r="L41" s="21"/>
      <c r="M41" s="16">
        <f t="shared" si="3"/>
        <v>1500</v>
      </c>
      <c r="N41" s="21">
        <f t="shared" si="4"/>
        <v>6</v>
      </c>
    </row>
    <row r="42" ht="13.5" customHeight="1">
      <c r="A42" s="25"/>
      <c r="B42" s="2"/>
      <c r="C42" s="3" t="s">
        <v>226</v>
      </c>
      <c r="D42" s="6">
        <v>1.0</v>
      </c>
      <c r="E42" s="6">
        <v>1.0</v>
      </c>
      <c r="F42" s="6">
        <v>1.0</v>
      </c>
      <c r="G42" s="6">
        <v>3.0</v>
      </c>
      <c r="H42" s="21">
        <v>500.0</v>
      </c>
      <c r="I42" s="21">
        <v>1.0</v>
      </c>
      <c r="J42" s="21"/>
      <c r="K42" s="21"/>
      <c r="L42" s="21"/>
      <c r="M42" s="16">
        <f t="shared" si="3"/>
        <v>1500</v>
      </c>
      <c r="N42" s="21">
        <f t="shared" si="4"/>
        <v>6</v>
      </c>
    </row>
    <row r="43" ht="13.5" customHeight="1">
      <c r="A43" s="23" t="s">
        <v>230</v>
      </c>
      <c r="B43" s="2"/>
      <c r="D43" s="6"/>
      <c r="E43" s="6"/>
      <c r="F43" s="6"/>
      <c r="H43" s="21"/>
      <c r="I43" s="21"/>
      <c r="J43" s="21"/>
      <c r="K43" s="21"/>
      <c r="L43" s="21"/>
      <c r="M43" s="16" t="str">
        <f t="shared" si="3"/>
        <v/>
      </c>
      <c r="N43" s="21" t="str">
        <f t="shared" si="4"/>
        <v/>
      </c>
    </row>
    <row r="44" ht="13.5" customHeight="1">
      <c r="A44" s="25"/>
      <c r="B44" s="2"/>
      <c r="C44" s="3" t="s">
        <v>233</v>
      </c>
      <c r="D44" s="6">
        <v>1.0</v>
      </c>
      <c r="E44" s="6">
        <v>1.0</v>
      </c>
      <c r="F44" s="6">
        <v>1.0</v>
      </c>
      <c r="G44" s="21">
        <v>1.0</v>
      </c>
      <c r="H44" s="21">
        <v>40.0</v>
      </c>
      <c r="I44" s="6">
        <v>1.0</v>
      </c>
      <c r="J44" s="21">
        <v>0.0</v>
      </c>
      <c r="K44" s="21"/>
      <c r="L44" s="21"/>
      <c r="M44" s="16">
        <f t="shared" si="3"/>
        <v>40</v>
      </c>
      <c r="N44" s="21">
        <f t="shared" si="4"/>
        <v>71</v>
      </c>
    </row>
    <row r="45" ht="13.5" customHeight="1">
      <c r="A45" s="25"/>
      <c r="B45" s="2"/>
      <c r="C45" s="3" t="s">
        <v>236</v>
      </c>
      <c r="D45" s="6">
        <v>1.0</v>
      </c>
      <c r="E45" s="6">
        <v>1.0</v>
      </c>
      <c r="F45" s="6">
        <v>1.0</v>
      </c>
      <c r="G45" s="21">
        <v>1.0</v>
      </c>
      <c r="H45" s="21">
        <v>80.0</v>
      </c>
      <c r="I45" s="6">
        <v>1.0</v>
      </c>
      <c r="J45" s="21">
        <v>0.0</v>
      </c>
      <c r="K45" s="21"/>
      <c r="L45" s="21"/>
      <c r="M45" s="16">
        <f t="shared" si="3"/>
        <v>80</v>
      </c>
      <c r="N45" s="21">
        <f t="shared" si="4"/>
        <v>56</v>
      </c>
    </row>
    <row r="46" ht="13.5" customHeight="1">
      <c r="A46" s="25"/>
      <c r="B46" s="2"/>
      <c r="C46" s="3" t="s">
        <v>239</v>
      </c>
      <c r="D46" s="6">
        <v>1.0</v>
      </c>
      <c r="E46" s="6">
        <v>1.0</v>
      </c>
      <c r="F46" s="6">
        <v>1.0</v>
      </c>
      <c r="G46" s="21">
        <v>1.0</v>
      </c>
      <c r="H46" s="21">
        <v>80.0</v>
      </c>
      <c r="I46" s="6">
        <v>1.0</v>
      </c>
      <c r="J46" s="21">
        <v>0.0</v>
      </c>
      <c r="K46" s="21"/>
      <c r="L46" s="21"/>
      <c r="M46" s="16">
        <f t="shared" si="3"/>
        <v>80</v>
      </c>
      <c r="N46" s="21">
        <f t="shared" si="4"/>
        <v>56</v>
      </c>
    </row>
    <row r="47" ht="13.5" customHeight="1">
      <c r="A47" s="25"/>
      <c r="B47" s="2"/>
      <c r="C47" s="3" t="s">
        <v>243</v>
      </c>
      <c r="D47" s="6">
        <v>1.0</v>
      </c>
      <c r="E47" s="6">
        <v>1.0</v>
      </c>
      <c r="F47" s="6">
        <v>1.0</v>
      </c>
      <c r="G47" s="21">
        <v>1.0</v>
      </c>
      <c r="H47" s="21">
        <v>80.0</v>
      </c>
      <c r="I47" s="6">
        <v>1.0</v>
      </c>
      <c r="J47" s="21">
        <v>0.0</v>
      </c>
      <c r="K47" s="21"/>
      <c r="L47" s="21"/>
      <c r="M47" s="16">
        <f t="shared" si="3"/>
        <v>80</v>
      </c>
      <c r="N47" s="21">
        <f t="shared" si="4"/>
        <v>56</v>
      </c>
    </row>
    <row r="48" ht="13.5" customHeight="1">
      <c r="A48" s="25"/>
      <c r="B48" s="2"/>
      <c r="C48" s="3" t="s">
        <v>244</v>
      </c>
      <c r="D48" s="6">
        <v>1.0</v>
      </c>
      <c r="E48" s="6">
        <v>1.0</v>
      </c>
      <c r="F48" s="6">
        <v>1.0</v>
      </c>
      <c r="G48" s="21">
        <v>1.0</v>
      </c>
      <c r="H48" s="21">
        <v>80.0</v>
      </c>
      <c r="I48" s="6">
        <v>1.0</v>
      </c>
      <c r="J48" s="21">
        <v>0.0</v>
      </c>
      <c r="K48" s="21"/>
      <c r="L48" s="21"/>
      <c r="M48" s="16">
        <f t="shared" si="3"/>
        <v>80</v>
      </c>
      <c r="N48" s="21">
        <f t="shared" si="4"/>
        <v>56</v>
      </c>
    </row>
    <row r="49" ht="13.5" customHeight="1">
      <c r="A49" s="25"/>
      <c r="B49" s="2"/>
      <c r="C49" s="3" t="s">
        <v>245</v>
      </c>
      <c r="D49" s="6">
        <v>1.0</v>
      </c>
      <c r="E49" s="6">
        <v>1.0</v>
      </c>
      <c r="F49" s="6">
        <v>1.0</v>
      </c>
      <c r="G49" s="21">
        <v>1.0</v>
      </c>
      <c r="H49" s="21">
        <v>80.0</v>
      </c>
      <c r="I49" s="6">
        <v>1.0</v>
      </c>
      <c r="J49" s="21">
        <v>0.0</v>
      </c>
      <c r="K49" s="21"/>
      <c r="L49" s="21"/>
      <c r="M49" s="16">
        <f t="shared" si="3"/>
        <v>80</v>
      </c>
      <c r="N49" s="21">
        <f t="shared" si="4"/>
        <v>56</v>
      </c>
    </row>
    <row r="50" ht="13.5" customHeight="1">
      <c r="A50" s="25"/>
      <c r="B50" s="2"/>
      <c r="C50" s="6" t="s">
        <v>246</v>
      </c>
      <c r="D50" s="6">
        <v>1.0</v>
      </c>
      <c r="E50" s="6">
        <v>1.0</v>
      </c>
      <c r="F50" s="6">
        <v>1.0</v>
      </c>
      <c r="G50" s="21">
        <v>1.0</v>
      </c>
      <c r="H50" s="21">
        <v>140.0</v>
      </c>
      <c r="I50" s="6">
        <v>1.0</v>
      </c>
      <c r="J50" s="21">
        <v>0.0</v>
      </c>
      <c r="K50" s="21"/>
      <c r="L50" s="21"/>
      <c r="M50" s="16">
        <f t="shared" si="3"/>
        <v>140</v>
      </c>
      <c r="N50" s="21">
        <f t="shared" si="4"/>
        <v>42</v>
      </c>
    </row>
    <row r="51" ht="13.5" customHeight="1">
      <c r="A51" s="25"/>
      <c r="B51" s="2"/>
      <c r="C51" s="6" t="s">
        <v>247</v>
      </c>
      <c r="D51" s="6">
        <v>1.0</v>
      </c>
      <c r="E51" s="6">
        <v>1.0</v>
      </c>
      <c r="F51" s="6">
        <v>1.0</v>
      </c>
      <c r="G51" s="21">
        <v>1.0</v>
      </c>
      <c r="H51" s="21">
        <v>140.0</v>
      </c>
      <c r="I51" s="6">
        <v>1.0</v>
      </c>
      <c r="J51" s="21">
        <v>0.0</v>
      </c>
      <c r="K51" s="21"/>
      <c r="L51" s="21"/>
      <c r="M51" s="16">
        <f t="shared" si="3"/>
        <v>140</v>
      </c>
      <c r="N51" s="21">
        <f t="shared" si="4"/>
        <v>42</v>
      </c>
    </row>
    <row r="52" ht="13.5" customHeight="1">
      <c r="A52" s="25"/>
      <c r="B52" s="2"/>
      <c r="C52" s="6" t="s">
        <v>253</v>
      </c>
      <c r="D52" s="6">
        <v>1.0</v>
      </c>
      <c r="E52" s="6">
        <v>1.0</v>
      </c>
      <c r="F52" s="6">
        <v>1.0</v>
      </c>
      <c r="G52" s="21">
        <v>1.0</v>
      </c>
      <c r="H52" s="21">
        <v>140.0</v>
      </c>
      <c r="I52" s="6">
        <v>1.0</v>
      </c>
      <c r="J52" s="21">
        <v>0.0</v>
      </c>
      <c r="K52" s="21"/>
      <c r="L52" s="21"/>
      <c r="M52" s="16">
        <f t="shared" si="3"/>
        <v>140</v>
      </c>
      <c r="N52" s="21">
        <f t="shared" si="4"/>
        <v>42</v>
      </c>
    </row>
    <row r="53" ht="13.5" customHeight="1">
      <c r="A53" s="25"/>
      <c r="B53" s="2"/>
      <c r="C53" s="3" t="s">
        <v>251</v>
      </c>
      <c r="D53" s="6">
        <v>1.0</v>
      </c>
      <c r="E53" s="6">
        <v>1.0</v>
      </c>
      <c r="F53" s="6">
        <v>1.0</v>
      </c>
      <c r="G53" s="21">
        <v>1.0</v>
      </c>
      <c r="H53" s="21">
        <v>140.0</v>
      </c>
      <c r="I53" s="6">
        <v>1.0</v>
      </c>
      <c r="J53" s="21">
        <v>0.0</v>
      </c>
      <c r="K53" s="21"/>
      <c r="L53" s="21"/>
      <c r="M53" s="16">
        <f t="shared" si="3"/>
        <v>140</v>
      </c>
      <c r="N53" s="21">
        <f t="shared" si="4"/>
        <v>42</v>
      </c>
    </row>
    <row r="54" ht="13.5" customHeight="1">
      <c r="A54" s="25"/>
      <c r="B54" s="2"/>
      <c r="C54" s="3" t="s">
        <v>252</v>
      </c>
      <c r="D54" s="6">
        <v>1.0</v>
      </c>
      <c r="E54" s="6">
        <v>1.0</v>
      </c>
      <c r="F54" s="6">
        <v>1.0</v>
      </c>
      <c r="G54" s="21">
        <v>1.0</v>
      </c>
      <c r="H54" s="21">
        <v>160.0</v>
      </c>
      <c r="I54" s="6">
        <v>1.0</v>
      </c>
      <c r="J54" s="21">
        <v>0.0</v>
      </c>
      <c r="K54" s="21"/>
      <c r="L54" s="21"/>
      <c r="M54" s="16">
        <f t="shared" si="3"/>
        <v>160</v>
      </c>
      <c r="N54" s="21">
        <f t="shared" si="4"/>
        <v>38</v>
      </c>
    </row>
    <row r="55" ht="13.5" customHeight="1">
      <c r="A55" s="25"/>
      <c r="B55" s="2"/>
      <c r="C55" s="3" t="s">
        <v>254</v>
      </c>
      <c r="D55" s="6">
        <v>1.0</v>
      </c>
      <c r="E55" s="6">
        <v>1.0</v>
      </c>
      <c r="F55" s="6">
        <v>1.0</v>
      </c>
      <c r="G55" s="21">
        <v>1.0</v>
      </c>
      <c r="H55" s="21">
        <v>160.0</v>
      </c>
      <c r="I55" s="6">
        <v>1.0</v>
      </c>
      <c r="J55" s="21">
        <v>0.0</v>
      </c>
      <c r="K55" s="21"/>
      <c r="L55" s="21"/>
      <c r="M55" s="16">
        <f t="shared" si="3"/>
        <v>160</v>
      </c>
      <c r="N55" s="21">
        <f t="shared" si="4"/>
        <v>38</v>
      </c>
    </row>
    <row r="56" ht="13.5" customHeight="1">
      <c r="A56" s="25"/>
      <c r="B56" s="2"/>
      <c r="C56" s="3" t="s">
        <v>255</v>
      </c>
      <c r="D56" s="6">
        <v>1.0</v>
      </c>
      <c r="E56" s="6">
        <v>1.0</v>
      </c>
      <c r="F56" s="6">
        <v>1.0</v>
      </c>
      <c r="G56" s="21">
        <v>1.0</v>
      </c>
      <c r="H56" s="21">
        <v>120.0</v>
      </c>
      <c r="I56" s="6">
        <v>1.0</v>
      </c>
      <c r="J56" s="21">
        <v>0.0</v>
      </c>
      <c r="K56" s="21"/>
      <c r="L56" s="21"/>
      <c r="M56" s="16">
        <f t="shared" si="3"/>
        <v>120</v>
      </c>
      <c r="N56" s="21">
        <f t="shared" si="4"/>
        <v>45</v>
      </c>
    </row>
    <row r="57" ht="13.5" customHeight="1">
      <c r="A57" s="25"/>
      <c r="B57" s="2"/>
      <c r="C57" s="3" t="s">
        <v>256</v>
      </c>
      <c r="D57" s="6">
        <v>1.0</v>
      </c>
      <c r="E57" s="6">
        <v>1.0</v>
      </c>
      <c r="F57" s="6">
        <v>1.0</v>
      </c>
      <c r="G57" s="21">
        <v>1.0</v>
      </c>
      <c r="H57" s="21">
        <v>120.0</v>
      </c>
      <c r="I57" s="6">
        <v>1.0</v>
      </c>
      <c r="J57" s="21">
        <v>0.0</v>
      </c>
      <c r="K57" s="21"/>
      <c r="L57" s="21"/>
      <c r="M57" s="16">
        <f t="shared" si="3"/>
        <v>120</v>
      </c>
      <c r="N57" s="21">
        <f t="shared" si="4"/>
        <v>45</v>
      </c>
    </row>
    <row r="58" ht="13.5" customHeight="1">
      <c r="A58" s="25"/>
      <c r="B58" s="2"/>
      <c r="C58" s="3" t="s">
        <v>257</v>
      </c>
      <c r="D58" s="6">
        <v>1.0</v>
      </c>
      <c r="E58" s="6">
        <v>1.0</v>
      </c>
      <c r="F58" s="6">
        <v>1.0</v>
      </c>
      <c r="G58" s="21">
        <v>1.0</v>
      </c>
      <c r="H58" s="21">
        <v>160.0</v>
      </c>
      <c r="I58" s="6">
        <v>1.0</v>
      </c>
      <c r="J58" s="21">
        <v>0.0</v>
      </c>
      <c r="K58" s="21"/>
      <c r="L58" s="21"/>
      <c r="M58" s="16">
        <f t="shared" si="3"/>
        <v>160</v>
      </c>
      <c r="N58" s="21">
        <f t="shared" si="4"/>
        <v>38</v>
      </c>
    </row>
    <row r="59" ht="13.5" customHeight="1">
      <c r="A59" s="25"/>
      <c r="B59" s="2"/>
      <c r="C59" s="3" t="s">
        <v>258</v>
      </c>
      <c r="D59" s="6">
        <v>1.0</v>
      </c>
      <c r="E59" s="6">
        <v>1.0</v>
      </c>
      <c r="F59" s="6">
        <v>1.0</v>
      </c>
      <c r="G59" s="21">
        <v>1.0</v>
      </c>
      <c r="H59" s="21">
        <v>160.0</v>
      </c>
      <c r="I59" s="6">
        <v>1.0</v>
      </c>
      <c r="J59" s="21">
        <v>0.0</v>
      </c>
      <c r="K59" s="21"/>
      <c r="L59" s="21"/>
      <c r="M59" s="16">
        <f t="shared" si="3"/>
        <v>160</v>
      </c>
      <c r="N59" s="21">
        <f t="shared" si="4"/>
        <v>38</v>
      </c>
    </row>
    <row r="60" ht="13.5" customHeight="1">
      <c r="A60" s="25"/>
      <c r="B60" s="2"/>
      <c r="C60" s="3" t="s">
        <v>259</v>
      </c>
      <c r="D60" s="6">
        <v>1.0</v>
      </c>
      <c r="E60" s="6">
        <v>1.0</v>
      </c>
      <c r="F60" s="6">
        <v>1.0</v>
      </c>
      <c r="G60" s="21">
        <v>2.0</v>
      </c>
      <c r="H60" s="21">
        <v>40.0</v>
      </c>
      <c r="I60" s="6">
        <v>1.0</v>
      </c>
      <c r="J60" s="21">
        <v>48.0</v>
      </c>
      <c r="K60" s="21"/>
      <c r="L60" s="21"/>
      <c r="M60" s="16">
        <f t="shared" si="3"/>
        <v>176</v>
      </c>
      <c r="N60" s="21">
        <f t="shared" si="4"/>
        <v>36</v>
      </c>
    </row>
    <row r="61" ht="13.5" customHeight="1">
      <c r="A61" s="25"/>
      <c r="B61" s="2"/>
      <c r="C61" s="3" t="s">
        <v>260</v>
      </c>
      <c r="D61" s="6">
        <v>1.0</v>
      </c>
      <c r="E61" s="6">
        <v>1.0</v>
      </c>
      <c r="F61" s="6">
        <v>1.0</v>
      </c>
      <c r="G61" s="21">
        <v>2.0</v>
      </c>
      <c r="H61" s="21">
        <v>100.0</v>
      </c>
      <c r="I61" s="6">
        <v>1.0</v>
      </c>
      <c r="J61" s="21">
        <v>24.0</v>
      </c>
      <c r="K61" s="21"/>
      <c r="L61" s="21"/>
      <c r="M61" s="16">
        <f t="shared" si="3"/>
        <v>248</v>
      </c>
      <c r="N61" s="21">
        <f t="shared" si="4"/>
        <v>29</v>
      </c>
    </row>
    <row r="62" ht="13.5" customHeight="1">
      <c r="A62" s="25"/>
      <c r="B62" s="2"/>
      <c r="C62" s="3" t="s">
        <v>261</v>
      </c>
      <c r="D62" s="6">
        <v>1.0</v>
      </c>
      <c r="E62" s="6">
        <v>1.0</v>
      </c>
      <c r="F62" s="6">
        <v>1.0</v>
      </c>
      <c r="G62" s="21">
        <v>2.0</v>
      </c>
      <c r="H62" s="21">
        <v>100.0</v>
      </c>
      <c r="I62" s="6">
        <v>1.0</v>
      </c>
      <c r="J62" s="21">
        <v>36.0</v>
      </c>
      <c r="K62" s="21"/>
      <c r="L62" s="21"/>
      <c r="M62" s="16">
        <f t="shared" si="3"/>
        <v>272</v>
      </c>
      <c r="N62" s="21">
        <f t="shared" si="4"/>
        <v>27</v>
      </c>
    </row>
    <row r="63" ht="13.5" customHeight="1">
      <c r="A63" s="25"/>
      <c r="B63" s="2"/>
      <c r="C63" s="3" t="s">
        <v>262</v>
      </c>
      <c r="D63" s="6">
        <v>1.0</v>
      </c>
      <c r="E63" s="6">
        <v>1.0</v>
      </c>
      <c r="F63" s="6">
        <v>1.0</v>
      </c>
      <c r="G63" s="21">
        <v>2.0</v>
      </c>
      <c r="H63" s="21">
        <v>100.0</v>
      </c>
      <c r="I63" s="6">
        <v>1.0</v>
      </c>
      <c r="J63" s="21">
        <v>24.0</v>
      </c>
      <c r="K63" s="21"/>
      <c r="L63" s="21"/>
      <c r="M63" s="16">
        <f t="shared" si="3"/>
        <v>248</v>
      </c>
      <c r="N63" s="21">
        <f t="shared" si="4"/>
        <v>29</v>
      </c>
    </row>
    <row r="64" ht="13.5" customHeight="1">
      <c r="A64" s="25"/>
      <c r="B64" s="2"/>
      <c r="C64" s="3" t="s">
        <v>263</v>
      </c>
      <c r="D64" s="6">
        <v>1.0</v>
      </c>
      <c r="E64" s="6">
        <v>1.0</v>
      </c>
      <c r="F64" s="6">
        <v>1.0</v>
      </c>
      <c r="G64" s="21">
        <v>2.0</v>
      </c>
      <c r="H64" s="21">
        <v>100.0</v>
      </c>
      <c r="I64" s="6">
        <v>1.0</v>
      </c>
      <c r="J64" s="21">
        <v>24.0</v>
      </c>
      <c r="K64" s="21"/>
      <c r="L64" s="21"/>
      <c r="M64" s="16">
        <f t="shared" si="3"/>
        <v>248</v>
      </c>
      <c r="N64" s="21">
        <f t="shared" si="4"/>
        <v>29</v>
      </c>
    </row>
    <row r="65" ht="13.5" customHeight="1">
      <c r="A65" s="25"/>
      <c r="B65" s="2"/>
      <c r="C65" s="3" t="s">
        <v>264</v>
      </c>
      <c r="D65" s="6">
        <v>1.0</v>
      </c>
      <c r="E65" s="6">
        <v>1.0</v>
      </c>
      <c r="F65" s="6">
        <v>1.0</v>
      </c>
      <c r="G65" s="21">
        <v>2.0</v>
      </c>
      <c r="H65" s="21">
        <v>100.0</v>
      </c>
      <c r="I65" s="6">
        <v>1.0</v>
      </c>
      <c r="J65" s="21">
        <v>24.0</v>
      </c>
      <c r="K65" s="21"/>
      <c r="L65" s="21"/>
      <c r="M65" s="16">
        <f t="shared" si="3"/>
        <v>248</v>
      </c>
      <c r="N65" s="21">
        <f t="shared" si="4"/>
        <v>29</v>
      </c>
    </row>
    <row r="66" ht="13.5" customHeight="1">
      <c r="A66" s="25"/>
      <c r="B66" s="2"/>
      <c r="C66" s="3" t="s">
        <v>265</v>
      </c>
      <c r="D66" s="6">
        <v>1.0</v>
      </c>
      <c r="E66" s="6">
        <v>1.0</v>
      </c>
      <c r="F66" s="6">
        <v>1.0</v>
      </c>
      <c r="G66" s="21">
        <v>2.0</v>
      </c>
      <c r="H66" s="21">
        <v>100.0</v>
      </c>
      <c r="I66" s="6">
        <v>1.0</v>
      </c>
      <c r="J66" s="21">
        <v>24.0</v>
      </c>
      <c r="K66" s="21"/>
      <c r="L66" s="21"/>
      <c r="M66" s="16">
        <f t="shared" si="3"/>
        <v>248</v>
      </c>
      <c r="N66" s="21">
        <f t="shared" si="4"/>
        <v>29</v>
      </c>
    </row>
    <row r="67" ht="13.5" customHeight="1">
      <c r="A67" s="25"/>
      <c r="B67" s="2"/>
      <c r="C67" s="3" t="s">
        <v>266</v>
      </c>
      <c r="D67" s="6">
        <v>1.0</v>
      </c>
      <c r="E67" s="6">
        <v>1.0</v>
      </c>
      <c r="F67" s="6">
        <v>1.0</v>
      </c>
      <c r="G67" s="21">
        <v>2.0</v>
      </c>
      <c r="H67" s="21">
        <v>100.0</v>
      </c>
      <c r="I67" s="6">
        <v>1.0</v>
      </c>
      <c r="J67" s="21">
        <v>24.0</v>
      </c>
      <c r="K67" s="21"/>
      <c r="L67" s="21"/>
      <c r="M67" s="16">
        <f t="shared" si="3"/>
        <v>248</v>
      </c>
      <c r="N67" s="21">
        <f t="shared" si="4"/>
        <v>29</v>
      </c>
    </row>
    <row r="68" ht="13.5" customHeight="1">
      <c r="A68" s="25"/>
      <c r="B68" s="2"/>
      <c r="C68" s="3" t="s">
        <v>267</v>
      </c>
      <c r="D68" s="6">
        <v>1.0</v>
      </c>
      <c r="E68" s="6">
        <v>1.0</v>
      </c>
      <c r="F68" s="6">
        <v>1.0</v>
      </c>
      <c r="G68" s="21">
        <v>2.0</v>
      </c>
      <c r="H68" s="21">
        <v>140.0</v>
      </c>
      <c r="I68" s="6">
        <v>1.0</v>
      </c>
      <c r="J68" s="21">
        <v>24.0</v>
      </c>
      <c r="K68" s="21"/>
      <c r="L68" s="21"/>
      <c r="M68" s="16">
        <f t="shared" si="3"/>
        <v>328</v>
      </c>
      <c r="N68" s="21">
        <f t="shared" si="4"/>
        <v>23</v>
      </c>
    </row>
    <row r="69" ht="13.5" customHeight="1">
      <c r="A69" s="25"/>
      <c r="B69" s="2"/>
      <c r="C69" s="3" t="s">
        <v>268</v>
      </c>
      <c r="D69" s="6">
        <v>1.0</v>
      </c>
      <c r="E69" s="6">
        <v>1.0</v>
      </c>
      <c r="F69" s="6">
        <v>1.0</v>
      </c>
      <c r="G69" s="21">
        <v>2.0</v>
      </c>
      <c r="H69" s="21">
        <v>100.0</v>
      </c>
      <c r="I69" s="6">
        <v>1.0</v>
      </c>
      <c r="J69" s="21">
        <v>24.0</v>
      </c>
      <c r="K69" s="21"/>
      <c r="L69" s="21"/>
      <c r="M69" s="16">
        <f t="shared" si="3"/>
        <v>248</v>
      </c>
      <c r="N69" s="21">
        <f t="shared" si="4"/>
        <v>29</v>
      </c>
    </row>
    <row r="70" ht="13.5" customHeight="1">
      <c r="A70" s="25"/>
      <c r="B70" s="2"/>
      <c r="C70" s="6" t="s">
        <v>297</v>
      </c>
      <c r="D70" s="6">
        <v>1.0</v>
      </c>
      <c r="E70" s="6">
        <v>1.0</v>
      </c>
      <c r="F70" s="6">
        <v>1.0</v>
      </c>
      <c r="G70" s="21">
        <v>3.0</v>
      </c>
      <c r="H70" s="21">
        <v>140.0</v>
      </c>
      <c r="I70" s="6">
        <v>1.0</v>
      </c>
      <c r="J70" s="21">
        <v>48.0</v>
      </c>
      <c r="K70" s="21"/>
      <c r="L70" s="21"/>
      <c r="M70" s="16">
        <f t="shared" si="3"/>
        <v>516</v>
      </c>
      <c r="N70" s="21">
        <f t="shared" si="4"/>
        <v>16</v>
      </c>
    </row>
    <row r="71" ht="13.5" customHeight="1">
      <c r="A71" s="25"/>
      <c r="B71" s="2"/>
      <c r="C71" s="6" t="s">
        <v>299</v>
      </c>
      <c r="D71" s="6">
        <v>1.0</v>
      </c>
      <c r="E71" s="6">
        <v>1.0</v>
      </c>
      <c r="F71" s="6">
        <v>1.0</v>
      </c>
      <c r="G71" s="21">
        <v>3.0</v>
      </c>
      <c r="H71" s="21">
        <v>140.0</v>
      </c>
      <c r="I71" s="6">
        <v>1.0</v>
      </c>
      <c r="J71" s="21">
        <v>48.0</v>
      </c>
      <c r="K71" s="21"/>
      <c r="L71" s="21"/>
      <c r="M71" s="16">
        <f t="shared" si="3"/>
        <v>516</v>
      </c>
      <c r="N71" s="21">
        <f t="shared" si="4"/>
        <v>16</v>
      </c>
    </row>
    <row r="72" ht="13.5" customHeight="1">
      <c r="A72" s="25"/>
      <c r="B72" s="2"/>
      <c r="C72" s="6" t="s">
        <v>301</v>
      </c>
      <c r="D72" s="6">
        <v>1.0</v>
      </c>
      <c r="E72" s="6">
        <v>1.0</v>
      </c>
      <c r="F72" s="6">
        <v>1.0</v>
      </c>
      <c r="G72" s="21">
        <v>3.0</v>
      </c>
      <c r="H72" s="21">
        <v>140.0</v>
      </c>
      <c r="I72" s="6">
        <v>1.0</v>
      </c>
      <c r="J72" s="21">
        <v>60.0</v>
      </c>
      <c r="K72" s="21"/>
      <c r="L72" s="21"/>
      <c r="M72" s="16">
        <f t="shared" si="3"/>
        <v>540</v>
      </c>
      <c r="N72" s="21">
        <f t="shared" si="4"/>
        <v>16</v>
      </c>
    </row>
    <row r="73" ht="13.5" customHeight="1">
      <c r="A73" s="25"/>
      <c r="B73" s="2"/>
      <c r="C73" s="6" t="s">
        <v>304</v>
      </c>
      <c r="D73" s="6">
        <v>1.0</v>
      </c>
      <c r="E73" s="6">
        <v>1.0</v>
      </c>
      <c r="F73" s="6">
        <v>1.0</v>
      </c>
      <c r="G73" s="21">
        <v>3.0</v>
      </c>
      <c r="H73" s="21">
        <v>140.0</v>
      </c>
      <c r="I73" s="6">
        <v>1.0</v>
      </c>
      <c r="J73" s="21">
        <v>60.0</v>
      </c>
      <c r="K73" s="21"/>
      <c r="L73" s="21"/>
      <c r="M73" s="16">
        <f t="shared" si="3"/>
        <v>540</v>
      </c>
      <c r="N73" s="21">
        <f t="shared" si="4"/>
        <v>16</v>
      </c>
    </row>
    <row r="74" ht="13.5" customHeight="1">
      <c r="A74" s="25"/>
      <c r="B74" s="2"/>
      <c r="C74" s="6" t="s">
        <v>307</v>
      </c>
      <c r="D74" s="6">
        <v>1.0</v>
      </c>
      <c r="E74" s="6">
        <v>1.0</v>
      </c>
      <c r="F74" s="6">
        <v>1.0</v>
      </c>
      <c r="G74" s="21">
        <v>3.0</v>
      </c>
      <c r="H74" s="21">
        <v>140.0</v>
      </c>
      <c r="I74" s="6">
        <v>1.0</v>
      </c>
      <c r="J74" s="21">
        <v>204.0</v>
      </c>
      <c r="K74" s="21"/>
      <c r="L74" s="21"/>
      <c r="M74" s="16">
        <f t="shared" si="3"/>
        <v>828</v>
      </c>
      <c r="N74" s="21">
        <f t="shared" si="4"/>
        <v>11</v>
      </c>
    </row>
    <row r="75" ht="13.5" customHeight="1">
      <c r="A75" s="25"/>
      <c r="B75" s="2"/>
      <c r="C75" s="6" t="s">
        <v>310</v>
      </c>
      <c r="D75" s="6">
        <v>1.0</v>
      </c>
      <c r="E75" s="6">
        <v>1.0</v>
      </c>
      <c r="F75" s="6">
        <v>1.0</v>
      </c>
      <c r="G75" s="21">
        <v>3.0</v>
      </c>
      <c r="H75" s="21">
        <v>140.0</v>
      </c>
      <c r="I75" s="6">
        <v>1.0</v>
      </c>
      <c r="J75" s="21">
        <v>204.0</v>
      </c>
      <c r="K75" s="21"/>
      <c r="L75" s="21"/>
      <c r="M75" s="16">
        <f t="shared" si="3"/>
        <v>828</v>
      </c>
      <c r="N75" s="21">
        <f t="shared" si="4"/>
        <v>11</v>
      </c>
    </row>
    <row r="76" ht="13.5" customHeight="1">
      <c r="A76" s="25"/>
      <c r="B76" s="2"/>
      <c r="C76" s="6" t="s">
        <v>312</v>
      </c>
      <c r="D76" s="6">
        <v>1.0</v>
      </c>
      <c r="E76" s="6">
        <v>1.0</v>
      </c>
      <c r="F76" s="6">
        <v>1.0</v>
      </c>
      <c r="G76" s="21">
        <v>3.0</v>
      </c>
      <c r="H76" s="21">
        <v>140.0</v>
      </c>
      <c r="I76" s="6">
        <v>1.0</v>
      </c>
      <c r="J76" s="21">
        <v>204.0</v>
      </c>
      <c r="K76" s="21"/>
      <c r="L76" s="21"/>
      <c r="M76" s="16">
        <f t="shared" si="3"/>
        <v>828</v>
      </c>
      <c r="N76" s="21">
        <f t="shared" si="4"/>
        <v>11</v>
      </c>
    </row>
    <row r="77" ht="13.5" customHeight="1">
      <c r="A77" s="25"/>
      <c r="B77" s="2"/>
      <c r="C77" s="6" t="s">
        <v>314</v>
      </c>
      <c r="D77" s="6">
        <v>1.0</v>
      </c>
      <c r="E77" s="6">
        <v>1.0</v>
      </c>
      <c r="F77" s="6">
        <v>1.0</v>
      </c>
      <c r="G77" s="21">
        <v>3.0</v>
      </c>
      <c r="H77" s="21">
        <v>140.0</v>
      </c>
      <c r="I77" s="6">
        <v>1.0</v>
      </c>
      <c r="J77" s="21">
        <v>60.0</v>
      </c>
      <c r="K77" s="21"/>
      <c r="L77" s="21"/>
      <c r="M77" s="16">
        <f t="shared" si="3"/>
        <v>540</v>
      </c>
      <c r="N77" s="21">
        <f t="shared" si="4"/>
        <v>16</v>
      </c>
    </row>
    <row r="78" ht="13.5" customHeight="1">
      <c r="A78" s="25"/>
      <c r="B78" s="2"/>
      <c r="C78" s="6" t="s">
        <v>318</v>
      </c>
      <c r="D78" s="6">
        <v>1.0</v>
      </c>
      <c r="E78" s="6">
        <v>1.0</v>
      </c>
      <c r="F78" s="6">
        <v>1.0</v>
      </c>
      <c r="G78" s="21">
        <v>3.0</v>
      </c>
      <c r="H78" s="21">
        <v>120.0</v>
      </c>
      <c r="I78" s="6">
        <v>1.0</v>
      </c>
      <c r="J78" s="21">
        <v>48.0</v>
      </c>
      <c r="K78" s="21"/>
      <c r="L78" s="21"/>
      <c r="M78" s="16">
        <f t="shared" si="3"/>
        <v>456</v>
      </c>
      <c r="N78" s="21">
        <f t="shared" si="4"/>
        <v>18</v>
      </c>
    </row>
    <row r="79" ht="13.5" customHeight="1">
      <c r="A79" s="25"/>
      <c r="B79" s="2"/>
      <c r="C79" s="6" t="s">
        <v>321</v>
      </c>
      <c r="D79" s="6">
        <v>1.0</v>
      </c>
      <c r="E79" s="6">
        <v>1.0</v>
      </c>
      <c r="F79" s="6">
        <v>1.0</v>
      </c>
      <c r="G79" s="21">
        <v>3.0</v>
      </c>
      <c r="H79" s="21">
        <v>120.0</v>
      </c>
      <c r="I79" s="6">
        <v>1.0</v>
      </c>
      <c r="J79" s="21">
        <v>64.0</v>
      </c>
      <c r="K79" s="21"/>
      <c r="L79" s="21"/>
      <c r="M79" s="16">
        <f t="shared" si="3"/>
        <v>488</v>
      </c>
      <c r="N79" s="21">
        <f t="shared" si="4"/>
        <v>17</v>
      </c>
    </row>
    <row r="80" ht="13.5" customHeight="1">
      <c r="A80" s="25"/>
      <c r="B80" s="2"/>
      <c r="C80" s="6" t="s">
        <v>324</v>
      </c>
      <c r="D80" s="6">
        <v>1.0</v>
      </c>
      <c r="E80" s="6">
        <v>1.0</v>
      </c>
      <c r="F80" s="6">
        <v>1.0</v>
      </c>
      <c r="G80" s="21">
        <v>3.0</v>
      </c>
      <c r="H80" s="21">
        <v>120.0</v>
      </c>
      <c r="I80" s="6">
        <v>1.0</v>
      </c>
      <c r="J80" s="21">
        <v>204.0</v>
      </c>
      <c r="K80" s="21"/>
      <c r="L80" s="21"/>
      <c r="M80" s="16">
        <f t="shared" si="3"/>
        <v>768</v>
      </c>
      <c r="N80" s="21">
        <f t="shared" si="4"/>
        <v>12</v>
      </c>
    </row>
    <row r="81" ht="13.5" customHeight="1">
      <c r="A81" s="25"/>
      <c r="B81" s="2"/>
      <c r="C81" s="6" t="s">
        <v>325</v>
      </c>
      <c r="D81" s="6">
        <v>1.0</v>
      </c>
      <c r="E81" s="6">
        <v>1.0</v>
      </c>
      <c r="F81" s="6">
        <v>1.0</v>
      </c>
      <c r="G81" s="21">
        <v>3.0</v>
      </c>
      <c r="H81" s="21">
        <v>120.0</v>
      </c>
      <c r="I81" s="6">
        <v>1.0</v>
      </c>
      <c r="J81" s="21">
        <v>204.0</v>
      </c>
      <c r="K81" s="21"/>
      <c r="L81" s="21"/>
      <c r="M81" s="16">
        <f t="shared" si="3"/>
        <v>768</v>
      </c>
      <c r="N81" s="21">
        <f t="shared" si="4"/>
        <v>12</v>
      </c>
    </row>
    <row r="82" ht="13.5" customHeight="1">
      <c r="A82" s="25"/>
      <c r="B82" s="2"/>
      <c r="C82" s="6" t="s">
        <v>328</v>
      </c>
      <c r="D82" s="6">
        <v>1.0</v>
      </c>
      <c r="E82" s="6">
        <v>1.0</v>
      </c>
      <c r="F82" s="6">
        <v>1.0</v>
      </c>
      <c r="G82" s="21">
        <v>3.0</v>
      </c>
      <c r="H82" s="21">
        <v>140.0</v>
      </c>
      <c r="I82" s="6">
        <v>1.0</v>
      </c>
      <c r="J82" s="21">
        <v>48.0</v>
      </c>
      <c r="K82" s="21"/>
      <c r="L82" s="21"/>
      <c r="M82" s="16">
        <f t="shared" si="3"/>
        <v>516</v>
      </c>
      <c r="N82" s="21">
        <f t="shared" si="4"/>
        <v>16</v>
      </c>
    </row>
    <row r="83" ht="13.5" customHeight="1">
      <c r="A83" s="25"/>
      <c r="B83" s="2"/>
      <c r="C83" s="6" t="s">
        <v>331</v>
      </c>
      <c r="D83" s="6">
        <v>1.0</v>
      </c>
      <c r="E83" s="6">
        <v>1.0</v>
      </c>
      <c r="F83" s="6">
        <v>1.0</v>
      </c>
      <c r="G83" s="21">
        <v>3.0</v>
      </c>
      <c r="H83" s="21">
        <v>100.0</v>
      </c>
      <c r="I83" s="6">
        <v>1.0</v>
      </c>
      <c r="J83" s="21">
        <v>88.0</v>
      </c>
      <c r="K83" s="21"/>
      <c r="L83" s="21"/>
      <c r="M83" s="16">
        <f t="shared" si="3"/>
        <v>476</v>
      </c>
      <c r="N83" s="21">
        <f t="shared" si="4"/>
        <v>17</v>
      </c>
    </row>
    <row r="84" ht="13.5" customHeight="1">
      <c r="A84" s="25"/>
      <c r="B84" s="2"/>
      <c r="C84" s="6" t="s">
        <v>335</v>
      </c>
      <c r="D84" s="6">
        <v>1.0</v>
      </c>
      <c r="E84" s="6">
        <v>1.0</v>
      </c>
      <c r="F84" s="6">
        <v>1.0</v>
      </c>
      <c r="G84" s="21">
        <v>3.0</v>
      </c>
      <c r="H84" s="21">
        <v>100.0</v>
      </c>
      <c r="I84" s="6">
        <v>1.0</v>
      </c>
      <c r="J84" s="21">
        <v>88.0</v>
      </c>
      <c r="K84" s="21"/>
      <c r="L84" s="21"/>
      <c r="M84" s="16">
        <f t="shared" si="3"/>
        <v>476</v>
      </c>
      <c r="N84" s="21">
        <f t="shared" si="4"/>
        <v>17</v>
      </c>
    </row>
    <row r="85" ht="13.5" customHeight="1">
      <c r="A85" s="25"/>
      <c r="B85" s="2"/>
      <c r="C85" s="6" t="s">
        <v>336</v>
      </c>
      <c r="D85" s="6">
        <v>1.0</v>
      </c>
      <c r="E85" s="6">
        <v>1.0</v>
      </c>
      <c r="F85" s="6">
        <v>1.0</v>
      </c>
      <c r="G85" s="21">
        <v>3.0</v>
      </c>
      <c r="H85" s="21">
        <v>100.0</v>
      </c>
      <c r="I85" s="6">
        <v>1.0</v>
      </c>
      <c r="J85" s="21">
        <v>88.0</v>
      </c>
      <c r="K85" s="21"/>
      <c r="L85" s="21"/>
      <c r="M85" s="16">
        <f t="shared" si="3"/>
        <v>476</v>
      </c>
      <c r="N85" s="21">
        <f t="shared" si="4"/>
        <v>17</v>
      </c>
    </row>
    <row r="86" ht="13.5" customHeight="1">
      <c r="A86" s="23" t="s">
        <v>338</v>
      </c>
      <c r="B86" s="2"/>
      <c r="D86" s="6"/>
      <c r="E86" s="6"/>
      <c r="F86" s="6"/>
      <c r="H86" s="21"/>
      <c r="I86" s="21"/>
      <c r="J86" s="21"/>
      <c r="K86" s="21"/>
      <c r="L86" s="21"/>
      <c r="M86" s="16" t="str">
        <f t="shared" si="3"/>
        <v/>
      </c>
      <c r="N86" s="21" t="str">
        <f t="shared" si="4"/>
        <v/>
      </c>
    </row>
    <row r="87" ht="13.5" customHeight="1">
      <c r="A87" s="25"/>
      <c r="B87" s="2"/>
      <c r="C87" s="6" t="s">
        <v>340</v>
      </c>
      <c r="D87" s="6">
        <v>1.0</v>
      </c>
      <c r="E87" s="6">
        <v>1.0</v>
      </c>
      <c r="F87" s="6">
        <v>1.0</v>
      </c>
      <c r="G87" s="6">
        <v>1.0</v>
      </c>
      <c r="H87" s="30">
        <v>20.0</v>
      </c>
      <c r="I87" s="21">
        <v>1.0</v>
      </c>
      <c r="J87" s="21"/>
      <c r="K87" s="21"/>
      <c r="L87" s="21"/>
      <c r="M87" s="16">
        <f t="shared" si="3"/>
        <v>20</v>
      </c>
      <c r="N87" s="21">
        <f t="shared" si="4"/>
        <v>83</v>
      </c>
    </row>
    <row r="88" ht="13.5" customHeight="1">
      <c r="A88" s="25"/>
      <c r="B88" s="2"/>
      <c r="C88" s="6" t="s">
        <v>346</v>
      </c>
      <c r="D88" s="6">
        <v>1.0</v>
      </c>
      <c r="E88" s="6">
        <v>1.0</v>
      </c>
      <c r="F88" s="6">
        <v>1.0</v>
      </c>
      <c r="G88" s="6">
        <v>1.0</v>
      </c>
      <c r="H88" s="30">
        <v>20.0</v>
      </c>
      <c r="I88" s="21">
        <v>1.0</v>
      </c>
      <c r="J88" s="21"/>
      <c r="K88" s="21"/>
      <c r="L88" s="21"/>
      <c r="M88" s="16">
        <f t="shared" si="3"/>
        <v>20</v>
      </c>
      <c r="N88" s="21">
        <f t="shared" si="4"/>
        <v>83</v>
      </c>
    </row>
    <row r="89" ht="13.5" customHeight="1">
      <c r="A89" s="25"/>
      <c r="B89" s="2"/>
      <c r="C89" s="6" t="s">
        <v>349</v>
      </c>
      <c r="D89" s="6">
        <v>1.0</v>
      </c>
      <c r="E89" s="6">
        <v>1.0</v>
      </c>
      <c r="F89" s="6">
        <v>1.0</v>
      </c>
      <c r="G89" s="6">
        <v>1.0</v>
      </c>
      <c r="H89" s="30">
        <v>20.0</v>
      </c>
      <c r="I89" s="21">
        <v>1.0</v>
      </c>
      <c r="J89" s="21"/>
      <c r="K89" s="21"/>
      <c r="L89" s="21"/>
      <c r="M89" s="16">
        <f t="shared" si="3"/>
        <v>20</v>
      </c>
      <c r="N89" s="21">
        <f t="shared" si="4"/>
        <v>83</v>
      </c>
    </row>
    <row r="90" ht="13.5" customHeight="1">
      <c r="A90" s="25"/>
      <c r="B90" s="2"/>
      <c r="C90" s="6" t="s">
        <v>351</v>
      </c>
      <c r="D90" s="6">
        <v>1.0</v>
      </c>
      <c r="E90" s="6">
        <v>1.0</v>
      </c>
      <c r="F90" s="6">
        <v>1.0</v>
      </c>
      <c r="G90" s="6">
        <v>1.0</v>
      </c>
      <c r="H90" s="30">
        <v>20.0</v>
      </c>
      <c r="I90" s="21">
        <v>1.0</v>
      </c>
      <c r="J90" s="21"/>
      <c r="K90" s="21"/>
      <c r="L90" s="21"/>
      <c r="M90" s="16">
        <f t="shared" si="3"/>
        <v>20</v>
      </c>
      <c r="N90" s="21">
        <f t="shared" si="4"/>
        <v>83</v>
      </c>
    </row>
    <row r="91" ht="13.5" customHeight="1">
      <c r="A91" s="25"/>
      <c r="B91" s="2"/>
      <c r="C91" s="6" t="s">
        <v>353</v>
      </c>
      <c r="D91" s="6">
        <v>1.0</v>
      </c>
      <c r="E91" s="6">
        <v>1.0</v>
      </c>
      <c r="F91" s="6">
        <v>1.0</v>
      </c>
      <c r="G91" s="6">
        <v>1.0</v>
      </c>
      <c r="H91" s="30">
        <v>20.0</v>
      </c>
      <c r="I91" s="21">
        <v>1.0</v>
      </c>
      <c r="J91" s="21"/>
      <c r="K91" s="21"/>
      <c r="L91" s="21"/>
      <c r="M91" s="16">
        <f t="shared" si="3"/>
        <v>20</v>
      </c>
      <c r="N91" s="21">
        <f t="shared" si="4"/>
        <v>83</v>
      </c>
    </row>
    <row r="92" ht="13.5" customHeight="1">
      <c r="A92" s="25"/>
      <c r="B92" s="2"/>
      <c r="C92" s="6" t="s">
        <v>355</v>
      </c>
      <c r="D92" s="6">
        <v>1.0</v>
      </c>
      <c r="E92" s="6">
        <v>1.0</v>
      </c>
      <c r="F92" s="6">
        <v>1.0</v>
      </c>
      <c r="G92" s="6">
        <v>1.0</v>
      </c>
      <c r="H92" s="30">
        <v>20.0</v>
      </c>
      <c r="I92" s="21">
        <v>1.0</v>
      </c>
      <c r="J92" s="21"/>
      <c r="K92" s="21"/>
      <c r="L92" s="21"/>
      <c r="M92" s="16">
        <f t="shared" si="3"/>
        <v>20</v>
      </c>
      <c r="N92" s="21">
        <f t="shared" si="4"/>
        <v>83</v>
      </c>
    </row>
    <row r="93" ht="13.5" customHeight="1">
      <c r="A93" s="25"/>
      <c r="B93" s="2"/>
      <c r="C93" s="6" t="s">
        <v>358</v>
      </c>
      <c r="D93" s="6">
        <v>1.0</v>
      </c>
      <c r="E93" s="6">
        <v>1.0</v>
      </c>
      <c r="F93" s="6">
        <v>1.0</v>
      </c>
      <c r="G93" s="6">
        <v>1.0</v>
      </c>
      <c r="H93" s="30">
        <v>20.0</v>
      </c>
      <c r="I93" s="21">
        <v>1.0</v>
      </c>
      <c r="J93" s="21"/>
      <c r="K93" s="21"/>
      <c r="L93" s="21"/>
      <c r="M93" s="16">
        <f t="shared" si="3"/>
        <v>20</v>
      </c>
      <c r="N93" s="21">
        <f t="shared" si="4"/>
        <v>83</v>
      </c>
    </row>
    <row r="94" ht="13.5" customHeight="1">
      <c r="A94" s="25"/>
      <c r="B94" s="2"/>
      <c r="C94" s="6" t="s">
        <v>361</v>
      </c>
      <c r="D94" s="6">
        <v>1.0</v>
      </c>
      <c r="E94" s="6">
        <v>1.0</v>
      </c>
      <c r="F94" s="6">
        <v>1.0</v>
      </c>
      <c r="G94" s="6">
        <v>1.0</v>
      </c>
      <c r="H94" s="30">
        <v>20.0</v>
      </c>
      <c r="I94" s="21">
        <v>1.0</v>
      </c>
      <c r="J94" s="21"/>
      <c r="K94" s="21"/>
      <c r="L94" s="21"/>
      <c r="M94" s="16">
        <f t="shared" si="3"/>
        <v>20</v>
      </c>
      <c r="N94" s="21">
        <f t="shared" si="4"/>
        <v>83</v>
      </c>
    </row>
    <row r="95" ht="13.5" customHeight="1">
      <c r="A95" s="25"/>
      <c r="B95" s="2"/>
      <c r="C95" s="6" t="s">
        <v>364</v>
      </c>
      <c r="D95" s="6">
        <v>1.0</v>
      </c>
      <c r="E95" s="6">
        <v>1.0</v>
      </c>
      <c r="F95" s="6">
        <v>1.0</v>
      </c>
      <c r="G95" s="6">
        <v>1.0</v>
      </c>
      <c r="H95" s="30">
        <v>20.0</v>
      </c>
      <c r="I95" s="21">
        <v>1.0</v>
      </c>
      <c r="J95" s="21"/>
      <c r="K95" s="21"/>
      <c r="L95" s="21"/>
      <c r="M95" s="16">
        <f t="shared" si="3"/>
        <v>20</v>
      </c>
      <c r="N95" s="21">
        <f t="shared" si="4"/>
        <v>83</v>
      </c>
    </row>
    <row r="96" ht="13.5" customHeight="1">
      <c r="A96" s="25"/>
      <c r="B96" s="2"/>
      <c r="C96" s="6" t="s">
        <v>365</v>
      </c>
      <c r="D96" s="6">
        <v>1.0</v>
      </c>
      <c r="E96" s="6">
        <v>1.0</v>
      </c>
      <c r="F96" s="6">
        <v>1.0</v>
      </c>
      <c r="G96" s="6">
        <v>1.0</v>
      </c>
      <c r="H96" s="30">
        <v>20.0</v>
      </c>
      <c r="I96" s="21">
        <v>1.0</v>
      </c>
      <c r="J96" s="21"/>
      <c r="K96" s="21"/>
      <c r="L96" s="21"/>
      <c r="M96" s="16">
        <f t="shared" si="3"/>
        <v>20</v>
      </c>
      <c r="N96" s="21">
        <f t="shared" si="4"/>
        <v>83</v>
      </c>
    </row>
    <row r="97" ht="13.5" customHeight="1">
      <c r="A97" s="25"/>
      <c r="B97" s="2"/>
      <c r="C97" s="6" t="s">
        <v>368</v>
      </c>
      <c r="D97" s="6">
        <v>1.0</v>
      </c>
      <c r="E97" s="6">
        <v>1.0</v>
      </c>
      <c r="F97" s="6">
        <v>1.0</v>
      </c>
      <c r="G97" s="6">
        <v>1.0</v>
      </c>
      <c r="H97" s="30">
        <v>20.0</v>
      </c>
      <c r="I97" s="21">
        <v>1.0</v>
      </c>
      <c r="J97" s="21"/>
      <c r="K97" s="21"/>
      <c r="L97" s="21"/>
      <c r="M97" s="16">
        <f t="shared" si="3"/>
        <v>20</v>
      </c>
      <c r="N97" s="21">
        <f t="shared" si="4"/>
        <v>83</v>
      </c>
    </row>
    <row r="98" ht="13.5" customHeight="1">
      <c r="A98" s="25"/>
      <c r="B98" s="2"/>
      <c r="C98" s="6" t="s">
        <v>371</v>
      </c>
      <c r="D98" s="6">
        <v>1.0</v>
      </c>
      <c r="E98" s="6">
        <v>1.0</v>
      </c>
      <c r="F98" s="6">
        <v>1.0</v>
      </c>
      <c r="G98" s="6">
        <v>1.0</v>
      </c>
      <c r="H98" s="30">
        <v>20.0</v>
      </c>
      <c r="I98" s="21">
        <v>1.0</v>
      </c>
      <c r="J98" s="21"/>
      <c r="K98" s="21"/>
      <c r="L98" s="21"/>
      <c r="M98" s="16">
        <f t="shared" si="3"/>
        <v>20</v>
      </c>
      <c r="N98" s="21">
        <f t="shared" si="4"/>
        <v>83</v>
      </c>
    </row>
    <row r="99" ht="13.5" customHeight="1">
      <c r="A99" s="25"/>
      <c r="B99" s="2"/>
      <c r="C99" s="6" t="s">
        <v>374</v>
      </c>
      <c r="D99" s="6">
        <v>1.0</v>
      </c>
      <c r="E99" s="6">
        <v>1.0</v>
      </c>
      <c r="F99" s="6">
        <v>1.0</v>
      </c>
      <c r="G99" s="6">
        <v>1.0</v>
      </c>
      <c r="H99" s="30">
        <v>30.0</v>
      </c>
      <c r="I99" s="21">
        <v>1.0</v>
      </c>
      <c r="J99" s="21"/>
      <c r="K99" s="21"/>
      <c r="L99" s="21"/>
      <c r="M99" s="16">
        <f t="shared" si="3"/>
        <v>30</v>
      </c>
      <c r="N99" s="21">
        <f t="shared" si="4"/>
        <v>77</v>
      </c>
    </row>
    <row r="100" ht="13.5" customHeight="1">
      <c r="A100" s="25"/>
      <c r="B100" s="2"/>
      <c r="C100" s="6" t="s">
        <v>377</v>
      </c>
      <c r="D100" s="6">
        <v>1.0</v>
      </c>
      <c r="E100" s="6">
        <v>1.0</v>
      </c>
      <c r="F100" s="6">
        <v>1.0</v>
      </c>
      <c r="G100" s="6">
        <v>1.0</v>
      </c>
      <c r="H100" s="30">
        <v>30.0</v>
      </c>
      <c r="I100" s="21">
        <v>1.0</v>
      </c>
      <c r="J100" s="21"/>
      <c r="K100" s="21"/>
      <c r="L100" s="21"/>
      <c r="M100" s="16">
        <f t="shared" si="3"/>
        <v>30</v>
      </c>
      <c r="N100" s="21">
        <f t="shared" si="4"/>
        <v>77</v>
      </c>
    </row>
    <row r="101" ht="13.5" customHeight="1">
      <c r="A101" s="25"/>
      <c r="B101" s="2"/>
      <c r="C101" s="6" t="s">
        <v>380</v>
      </c>
      <c r="D101" s="6">
        <v>1.0</v>
      </c>
      <c r="E101" s="6">
        <v>1.0</v>
      </c>
      <c r="F101" s="6">
        <v>1.0</v>
      </c>
      <c r="G101" s="6">
        <v>1.0</v>
      </c>
      <c r="H101" s="30">
        <v>30.0</v>
      </c>
      <c r="I101" s="21">
        <v>1.0</v>
      </c>
      <c r="J101" s="21"/>
      <c r="K101" s="21"/>
      <c r="L101" s="21"/>
      <c r="M101" s="16">
        <f t="shared" si="3"/>
        <v>30</v>
      </c>
      <c r="N101" s="21">
        <f t="shared" si="4"/>
        <v>77</v>
      </c>
    </row>
    <row r="102" ht="13.5" customHeight="1">
      <c r="A102" s="25"/>
      <c r="B102" s="2"/>
      <c r="C102" s="6" t="s">
        <v>381</v>
      </c>
      <c r="D102" s="6">
        <v>1.0</v>
      </c>
      <c r="E102" s="6">
        <v>1.0</v>
      </c>
      <c r="F102" s="6">
        <v>1.0</v>
      </c>
      <c r="G102" s="6">
        <v>1.0</v>
      </c>
      <c r="H102" s="30">
        <v>30.0</v>
      </c>
      <c r="I102" s="21">
        <v>1.0</v>
      </c>
      <c r="J102" s="21"/>
      <c r="K102" s="21"/>
      <c r="L102" s="21"/>
      <c r="M102" s="16">
        <f t="shared" si="3"/>
        <v>30</v>
      </c>
      <c r="N102" s="21">
        <f t="shared" si="4"/>
        <v>77</v>
      </c>
    </row>
    <row r="103" ht="13.5" customHeight="1">
      <c r="A103" s="25"/>
      <c r="B103" s="2"/>
      <c r="C103" s="6" t="s">
        <v>383</v>
      </c>
      <c r="D103" s="6">
        <v>1.0</v>
      </c>
      <c r="E103" s="6">
        <v>1.0</v>
      </c>
      <c r="F103" s="6">
        <v>1.0</v>
      </c>
      <c r="G103" s="6">
        <v>1.0</v>
      </c>
      <c r="H103" s="30">
        <v>30.0</v>
      </c>
      <c r="I103" s="21">
        <v>1.0</v>
      </c>
      <c r="J103" s="21"/>
      <c r="K103" s="21"/>
      <c r="L103" s="21"/>
      <c r="M103" s="16">
        <f t="shared" si="3"/>
        <v>30</v>
      </c>
      <c r="N103" s="21">
        <f t="shared" si="4"/>
        <v>77</v>
      </c>
    </row>
    <row r="104" ht="13.5" customHeight="1">
      <c r="A104" s="25"/>
      <c r="B104" s="2"/>
      <c r="C104" s="6" t="s">
        <v>385</v>
      </c>
      <c r="D104" s="6">
        <v>1.0</v>
      </c>
      <c r="E104" s="6">
        <v>1.0</v>
      </c>
      <c r="F104" s="6">
        <v>1.0</v>
      </c>
      <c r="G104" s="6">
        <v>1.0</v>
      </c>
      <c r="H104" s="30">
        <v>30.0</v>
      </c>
      <c r="I104" s="21">
        <v>1.0</v>
      </c>
      <c r="J104" s="21"/>
      <c r="K104" s="21"/>
      <c r="L104" s="21"/>
      <c r="M104" s="16">
        <f t="shared" si="3"/>
        <v>30</v>
      </c>
      <c r="N104" s="21">
        <f t="shared" si="4"/>
        <v>77</v>
      </c>
    </row>
    <row r="105" ht="13.5" customHeight="1">
      <c r="A105" s="25"/>
      <c r="B105" s="2"/>
      <c r="C105" s="6" t="s">
        <v>388</v>
      </c>
      <c r="D105" s="6">
        <v>1.0</v>
      </c>
      <c r="E105" s="6">
        <v>1.0</v>
      </c>
      <c r="F105" s="6">
        <v>1.0</v>
      </c>
      <c r="G105" s="6">
        <v>1.0</v>
      </c>
      <c r="H105" s="30">
        <v>30.0</v>
      </c>
      <c r="I105" s="21">
        <v>1.0</v>
      </c>
      <c r="J105" s="21"/>
      <c r="K105" s="21"/>
      <c r="L105" s="21"/>
      <c r="M105" s="16">
        <f t="shared" si="3"/>
        <v>30</v>
      </c>
      <c r="N105" s="21">
        <f t="shared" si="4"/>
        <v>77</v>
      </c>
    </row>
    <row r="106" ht="13.5" customHeight="1">
      <c r="A106" s="25"/>
      <c r="B106" s="2"/>
      <c r="C106" s="6" t="s">
        <v>391</v>
      </c>
      <c r="D106" s="6">
        <v>1.0</v>
      </c>
      <c r="E106" s="6">
        <v>1.0</v>
      </c>
      <c r="F106" s="6">
        <v>1.0</v>
      </c>
      <c r="G106" s="6">
        <v>1.0</v>
      </c>
      <c r="H106" s="30">
        <v>30.0</v>
      </c>
      <c r="I106" s="21">
        <v>1.0</v>
      </c>
      <c r="J106" s="21"/>
      <c r="K106" s="21"/>
      <c r="L106" s="21"/>
      <c r="M106" s="16">
        <f t="shared" si="3"/>
        <v>30</v>
      </c>
      <c r="N106" s="21">
        <f t="shared" si="4"/>
        <v>77</v>
      </c>
    </row>
    <row r="107" ht="13.5" customHeight="1">
      <c r="A107" s="25"/>
      <c r="B107" s="2"/>
      <c r="C107" s="6" t="s">
        <v>394</v>
      </c>
      <c r="D107" s="6">
        <v>1.0</v>
      </c>
      <c r="E107" s="6">
        <v>1.0</v>
      </c>
      <c r="F107" s="6">
        <v>1.0</v>
      </c>
      <c r="G107" s="6">
        <v>1.0</v>
      </c>
      <c r="H107" s="30">
        <v>30.0</v>
      </c>
      <c r="I107" s="21">
        <v>1.0</v>
      </c>
      <c r="J107" s="21"/>
      <c r="K107" s="21"/>
      <c r="L107" s="21"/>
      <c r="M107" s="16">
        <f t="shared" si="3"/>
        <v>30</v>
      </c>
      <c r="N107" s="21">
        <f t="shared" si="4"/>
        <v>77</v>
      </c>
    </row>
    <row r="108" ht="13.5" customHeight="1">
      <c r="A108" s="25"/>
      <c r="B108" s="2"/>
      <c r="C108" s="6" t="s">
        <v>397</v>
      </c>
      <c r="D108" s="6">
        <v>1.0</v>
      </c>
      <c r="E108" s="6">
        <v>1.0</v>
      </c>
      <c r="F108" s="6">
        <v>1.0</v>
      </c>
      <c r="G108" s="6">
        <v>1.0</v>
      </c>
      <c r="H108" s="30">
        <v>30.0</v>
      </c>
      <c r="I108" s="21">
        <v>1.0</v>
      </c>
      <c r="J108" s="21"/>
      <c r="K108" s="21"/>
      <c r="L108" s="21"/>
      <c r="M108" s="16">
        <f t="shared" si="3"/>
        <v>30</v>
      </c>
      <c r="N108" s="21">
        <f t="shared" si="4"/>
        <v>77</v>
      </c>
    </row>
    <row r="109" ht="13.5" customHeight="1">
      <c r="A109" s="25"/>
      <c r="B109" s="2"/>
      <c r="C109" s="3" t="s">
        <v>300</v>
      </c>
      <c r="D109" s="6">
        <v>1.0</v>
      </c>
      <c r="E109" s="6">
        <v>1.0</v>
      </c>
      <c r="F109" s="6">
        <v>1.0</v>
      </c>
      <c r="G109" s="6">
        <v>1.0</v>
      </c>
      <c r="H109" s="30">
        <v>10.0</v>
      </c>
      <c r="I109" s="21">
        <v>1.0</v>
      </c>
      <c r="J109" s="21"/>
      <c r="K109" s="21"/>
      <c r="L109" s="21"/>
      <c r="M109" s="16">
        <f t="shared" si="3"/>
        <v>10</v>
      </c>
      <c r="N109" s="21">
        <f t="shared" si="4"/>
        <v>91</v>
      </c>
    </row>
    <row r="110" ht="13.5" customHeight="1">
      <c r="A110" s="25"/>
      <c r="B110" s="2"/>
      <c r="C110" s="3" t="s">
        <v>302</v>
      </c>
      <c r="D110" s="6">
        <v>1.0</v>
      </c>
      <c r="E110" s="6">
        <v>1.0</v>
      </c>
      <c r="F110" s="6">
        <v>1.0</v>
      </c>
      <c r="G110" s="6">
        <v>1.0</v>
      </c>
      <c r="H110" s="30">
        <v>10.0</v>
      </c>
      <c r="I110" s="21">
        <v>1.0</v>
      </c>
      <c r="J110" s="21"/>
      <c r="K110" s="21"/>
      <c r="L110" s="21"/>
      <c r="M110" s="16">
        <f t="shared" si="3"/>
        <v>10</v>
      </c>
      <c r="N110" s="21">
        <f t="shared" si="4"/>
        <v>91</v>
      </c>
    </row>
    <row r="111" ht="13.5" customHeight="1">
      <c r="A111" s="25"/>
      <c r="B111" s="2"/>
      <c r="C111" s="3" t="s">
        <v>303</v>
      </c>
      <c r="D111" s="6">
        <v>1.0</v>
      </c>
      <c r="E111" s="6">
        <v>1.0</v>
      </c>
      <c r="F111" s="6">
        <v>1.0</v>
      </c>
      <c r="G111" s="6">
        <v>1.0</v>
      </c>
      <c r="H111" s="30">
        <v>10.0</v>
      </c>
      <c r="I111" s="21">
        <v>1.0</v>
      </c>
      <c r="J111" s="21"/>
      <c r="K111" s="21"/>
      <c r="L111" s="21"/>
      <c r="M111" s="16">
        <f t="shared" si="3"/>
        <v>10</v>
      </c>
      <c r="N111" s="21">
        <f t="shared" si="4"/>
        <v>91</v>
      </c>
    </row>
    <row r="112" ht="13.5" customHeight="1">
      <c r="A112" s="25"/>
      <c r="B112" s="2"/>
      <c r="C112" s="3" t="s">
        <v>305</v>
      </c>
      <c r="D112" s="6">
        <v>1.0</v>
      </c>
      <c r="E112" s="6">
        <v>1.0</v>
      </c>
      <c r="F112" s="6">
        <v>1.0</v>
      </c>
      <c r="G112" s="6">
        <v>1.0</v>
      </c>
      <c r="H112" s="30">
        <v>10.0</v>
      </c>
      <c r="I112" s="21">
        <v>1.0</v>
      </c>
      <c r="J112" s="21"/>
      <c r="K112" s="21"/>
      <c r="L112" s="21"/>
      <c r="M112" s="16">
        <f t="shared" si="3"/>
        <v>10</v>
      </c>
      <c r="N112" s="21">
        <f t="shared" si="4"/>
        <v>91</v>
      </c>
    </row>
    <row r="113" ht="13.5" customHeight="1">
      <c r="A113" s="25"/>
      <c r="B113" s="2"/>
      <c r="C113" s="3" t="s">
        <v>306</v>
      </c>
      <c r="D113" s="6">
        <v>1.0</v>
      </c>
      <c r="E113" s="6">
        <v>1.0</v>
      </c>
      <c r="F113" s="6">
        <v>1.0</v>
      </c>
      <c r="G113" s="6">
        <v>1.0</v>
      </c>
      <c r="H113" s="30">
        <v>10.0</v>
      </c>
      <c r="I113" s="21">
        <v>1.0</v>
      </c>
      <c r="J113" s="21"/>
      <c r="K113" s="21"/>
      <c r="L113" s="21"/>
      <c r="M113" s="16">
        <f t="shared" si="3"/>
        <v>10</v>
      </c>
      <c r="N113" s="21">
        <f t="shared" si="4"/>
        <v>91</v>
      </c>
    </row>
    <row r="114" ht="13.5" customHeight="1">
      <c r="A114" s="25"/>
      <c r="B114" s="2"/>
      <c r="C114" s="3" t="s">
        <v>308</v>
      </c>
      <c r="D114" s="6">
        <v>1.0</v>
      </c>
      <c r="E114" s="6">
        <v>1.0</v>
      </c>
      <c r="F114" s="6">
        <v>1.0</v>
      </c>
      <c r="G114" s="6">
        <v>1.0</v>
      </c>
      <c r="H114" s="30">
        <v>10.0</v>
      </c>
      <c r="I114" s="21">
        <v>1.0</v>
      </c>
      <c r="J114" s="21"/>
      <c r="K114" s="21"/>
      <c r="L114" s="21"/>
      <c r="M114" s="16">
        <f t="shared" si="3"/>
        <v>10</v>
      </c>
      <c r="N114" s="21">
        <f t="shared" si="4"/>
        <v>91</v>
      </c>
    </row>
    <row r="115" ht="13.5" customHeight="1">
      <c r="A115" s="25"/>
      <c r="B115" s="2"/>
      <c r="C115" s="3" t="s">
        <v>309</v>
      </c>
      <c r="D115" s="6">
        <v>1.0</v>
      </c>
      <c r="E115" s="6">
        <v>1.0</v>
      </c>
      <c r="F115" s="6">
        <v>1.0</v>
      </c>
      <c r="G115" s="6">
        <v>1.0</v>
      </c>
      <c r="H115" s="30">
        <v>10.0</v>
      </c>
      <c r="I115" s="21">
        <v>1.0</v>
      </c>
      <c r="J115" s="21"/>
      <c r="K115" s="21"/>
      <c r="L115" s="21"/>
      <c r="M115" s="16">
        <f t="shared" si="3"/>
        <v>10</v>
      </c>
      <c r="N115" s="21">
        <f t="shared" si="4"/>
        <v>91</v>
      </c>
    </row>
    <row r="116" ht="13.5" customHeight="1">
      <c r="A116" s="25"/>
      <c r="B116" s="2"/>
      <c r="C116" s="3" t="s">
        <v>311</v>
      </c>
      <c r="D116" s="6">
        <v>1.0</v>
      </c>
      <c r="E116" s="6">
        <v>1.0</v>
      </c>
      <c r="F116" s="6">
        <v>1.0</v>
      </c>
      <c r="G116" s="6">
        <v>1.0</v>
      </c>
      <c r="H116" s="30">
        <v>10.0</v>
      </c>
      <c r="I116" s="21">
        <v>1.0</v>
      </c>
      <c r="J116" s="21"/>
      <c r="K116" s="21"/>
      <c r="L116" s="21"/>
      <c r="M116" s="16">
        <f t="shared" si="3"/>
        <v>10</v>
      </c>
      <c r="N116" s="21">
        <f t="shared" si="4"/>
        <v>91</v>
      </c>
    </row>
    <row r="117" ht="13.5" customHeight="1">
      <c r="A117" s="25"/>
      <c r="B117" s="2"/>
      <c r="C117" s="3" t="s">
        <v>352</v>
      </c>
      <c r="D117" s="6">
        <v>1.0</v>
      </c>
      <c r="E117" s="6">
        <v>1.0</v>
      </c>
      <c r="F117" s="6">
        <v>1.0</v>
      </c>
      <c r="G117" s="6">
        <v>1.0</v>
      </c>
      <c r="H117" s="30">
        <v>30.0</v>
      </c>
      <c r="I117" s="21">
        <v>1.0</v>
      </c>
      <c r="J117" s="21"/>
      <c r="K117" s="21"/>
      <c r="L117" s="21"/>
      <c r="M117" s="16">
        <f t="shared" si="3"/>
        <v>30</v>
      </c>
      <c r="N117" s="21">
        <f t="shared" si="4"/>
        <v>77</v>
      </c>
    </row>
    <row r="118" ht="13.5" customHeight="1">
      <c r="A118" s="25"/>
      <c r="B118" s="2"/>
      <c r="C118" s="3" t="s">
        <v>354</v>
      </c>
      <c r="D118" s="6">
        <v>1.0</v>
      </c>
      <c r="E118" s="6">
        <v>1.0</v>
      </c>
      <c r="F118" s="6">
        <v>1.0</v>
      </c>
      <c r="G118" s="6">
        <v>1.0</v>
      </c>
      <c r="H118" s="30">
        <v>30.0</v>
      </c>
      <c r="I118" s="21">
        <v>1.0</v>
      </c>
      <c r="J118" s="21"/>
      <c r="K118" s="21"/>
      <c r="L118" s="21"/>
      <c r="M118" s="16">
        <f t="shared" si="3"/>
        <v>30</v>
      </c>
      <c r="N118" s="21">
        <f t="shared" si="4"/>
        <v>77</v>
      </c>
    </row>
    <row r="119" ht="13.5" customHeight="1">
      <c r="A119" s="25"/>
      <c r="B119" s="2"/>
      <c r="C119" s="3" t="s">
        <v>356</v>
      </c>
      <c r="D119" s="6">
        <v>1.0</v>
      </c>
      <c r="E119" s="6">
        <v>1.0</v>
      </c>
      <c r="F119" s="6">
        <v>1.0</v>
      </c>
      <c r="G119" s="6">
        <v>1.0</v>
      </c>
      <c r="H119" s="30">
        <v>30.0</v>
      </c>
      <c r="I119" s="21">
        <v>1.0</v>
      </c>
      <c r="J119" s="21"/>
      <c r="K119" s="21"/>
      <c r="L119" s="21"/>
      <c r="M119" s="16">
        <f t="shared" si="3"/>
        <v>30</v>
      </c>
      <c r="N119" s="21">
        <f t="shared" si="4"/>
        <v>77</v>
      </c>
    </row>
    <row r="120" ht="13.5" customHeight="1">
      <c r="A120" s="25"/>
      <c r="B120" s="2"/>
      <c r="C120" s="3" t="s">
        <v>357</v>
      </c>
      <c r="D120" s="6">
        <v>1.0</v>
      </c>
      <c r="E120" s="6">
        <v>1.0</v>
      </c>
      <c r="F120" s="6">
        <v>1.0</v>
      </c>
      <c r="G120" s="6">
        <v>1.0</v>
      </c>
      <c r="H120" s="30">
        <v>30.0</v>
      </c>
      <c r="I120" s="21">
        <v>1.0</v>
      </c>
      <c r="J120" s="21"/>
      <c r="K120" s="21"/>
      <c r="L120" s="21"/>
      <c r="M120" s="16">
        <f t="shared" si="3"/>
        <v>30</v>
      </c>
      <c r="N120" s="21">
        <f t="shared" si="4"/>
        <v>77</v>
      </c>
    </row>
    <row r="121" ht="13.5" customHeight="1">
      <c r="A121" s="25"/>
      <c r="B121" s="2"/>
      <c r="C121" s="3" t="s">
        <v>359</v>
      </c>
      <c r="D121" s="6">
        <v>1.0</v>
      </c>
      <c r="E121" s="6">
        <v>1.0</v>
      </c>
      <c r="F121" s="6">
        <v>1.0</v>
      </c>
      <c r="G121" s="6">
        <v>1.0</v>
      </c>
      <c r="H121" s="30">
        <v>30.0</v>
      </c>
      <c r="I121" s="21">
        <v>1.0</v>
      </c>
      <c r="J121" s="21"/>
      <c r="K121" s="21"/>
      <c r="L121" s="21"/>
      <c r="M121" s="16">
        <f t="shared" si="3"/>
        <v>30</v>
      </c>
      <c r="N121" s="21">
        <f t="shared" si="4"/>
        <v>77</v>
      </c>
    </row>
    <row r="122" ht="13.5" customHeight="1">
      <c r="A122" s="25"/>
      <c r="B122" s="2"/>
      <c r="C122" s="3" t="s">
        <v>360</v>
      </c>
      <c r="D122" s="6">
        <v>1.0</v>
      </c>
      <c r="E122" s="6">
        <v>1.0</v>
      </c>
      <c r="F122" s="6">
        <v>1.0</v>
      </c>
      <c r="G122" s="6">
        <v>1.0</v>
      </c>
      <c r="H122" s="30">
        <v>30.0</v>
      </c>
      <c r="I122" s="21">
        <v>1.0</v>
      </c>
      <c r="J122" s="21"/>
      <c r="K122" s="21"/>
      <c r="L122" s="21"/>
      <c r="M122" s="16">
        <f t="shared" si="3"/>
        <v>30</v>
      </c>
      <c r="N122" s="21">
        <f t="shared" si="4"/>
        <v>77</v>
      </c>
    </row>
    <row r="123" ht="13.5" customHeight="1">
      <c r="A123" s="25"/>
      <c r="B123" s="2"/>
      <c r="C123" s="3" t="s">
        <v>362</v>
      </c>
      <c r="D123" s="6">
        <v>1.0</v>
      </c>
      <c r="E123" s="6">
        <v>1.0</v>
      </c>
      <c r="F123" s="6">
        <v>1.0</v>
      </c>
      <c r="G123" s="6">
        <v>1.0</v>
      </c>
      <c r="H123" s="30">
        <v>30.0</v>
      </c>
      <c r="I123" s="21">
        <v>1.0</v>
      </c>
      <c r="J123" s="21"/>
      <c r="K123" s="21"/>
      <c r="L123" s="21"/>
      <c r="M123" s="16">
        <f t="shared" si="3"/>
        <v>30</v>
      </c>
      <c r="N123" s="21">
        <f t="shared" si="4"/>
        <v>77</v>
      </c>
    </row>
    <row r="124" ht="13.5" customHeight="1">
      <c r="A124" s="25"/>
      <c r="B124" s="2"/>
      <c r="C124" s="3" t="s">
        <v>363</v>
      </c>
      <c r="D124" s="6">
        <v>1.0</v>
      </c>
      <c r="E124" s="6">
        <v>1.0</v>
      </c>
      <c r="F124" s="6">
        <v>1.0</v>
      </c>
      <c r="G124" s="6">
        <v>1.0</v>
      </c>
      <c r="H124" s="30">
        <v>30.0</v>
      </c>
      <c r="I124" s="21">
        <v>1.0</v>
      </c>
      <c r="J124" s="21"/>
      <c r="K124" s="21"/>
      <c r="L124" s="21"/>
      <c r="M124" s="16">
        <f t="shared" si="3"/>
        <v>30</v>
      </c>
      <c r="N124" s="21">
        <f t="shared" si="4"/>
        <v>77</v>
      </c>
    </row>
    <row r="125" ht="13.5" customHeight="1">
      <c r="A125" s="25"/>
      <c r="B125" s="2"/>
      <c r="C125" s="3" t="s">
        <v>313</v>
      </c>
      <c r="D125" s="6">
        <v>1.0</v>
      </c>
      <c r="E125" s="6">
        <v>1.0</v>
      </c>
      <c r="F125" s="6">
        <v>1.0</v>
      </c>
      <c r="G125" s="6">
        <v>1.0</v>
      </c>
      <c r="H125" s="30">
        <v>20.0</v>
      </c>
      <c r="I125" s="21">
        <v>1.0</v>
      </c>
      <c r="J125" s="21"/>
      <c r="K125" s="21"/>
      <c r="L125" s="21"/>
      <c r="M125" s="16">
        <f t="shared" si="3"/>
        <v>20</v>
      </c>
      <c r="N125" s="21">
        <f t="shared" si="4"/>
        <v>83</v>
      </c>
    </row>
    <row r="126" ht="13.5" customHeight="1">
      <c r="A126" s="25"/>
      <c r="B126" s="2"/>
      <c r="C126" s="3" t="s">
        <v>315</v>
      </c>
      <c r="D126" s="6">
        <v>1.0</v>
      </c>
      <c r="E126" s="6">
        <v>1.0</v>
      </c>
      <c r="F126" s="6">
        <v>1.0</v>
      </c>
      <c r="G126" s="6">
        <v>1.0</v>
      </c>
      <c r="H126" s="30">
        <v>20.0</v>
      </c>
      <c r="I126" s="21">
        <v>1.0</v>
      </c>
      <c r="J126" s="21"/>
      <c r="K126" s="21"/>
      <c r="L126" s="21"/>
      <c r="M126" s="16">
        <f t="shared" si="3"/>
        <v>20</v>
      </c>
      <c r="N126" s="21">
        <f t="shared" si="4"/>
        <v>83</v>
      </c>
    </row>
    <row r="127" ht="13.5" customHeight="1">
      <c r="A127" s="25"/>
      <c r="B127" s="2"/>
      <c r="C127" s="3" t="s">
        <v>316</v>
      </c>
      <c r="D127" s="6">
        <v>1.0</v>
      </c>
      <c r="E127" s="6">
        <v>1.0</v>
      </c>
      <c r="F127" s="6">
        <v>1.0</v>
      </c>
      <c r="G127" s="6">
        <v>1.0</v>
      </c>
      <c r="H127" s="30">
        <v>20.0</v>
      </c>
      <c r="I127" s="21">
        <v>1.0</v>
      </c>
      <c r="J127" s="21"/>
      <c r="K127" s="21"/>
      <c r="L127" s="21"/>
      <c r="M127" s="16">
        <f t="shared" si="3"/>
        <v>20</v>
      </c>
      <c r="N127" s="21">
        <f t="shared" si="4"/>
        <v>83</v>
      </c>
    </row>
    <row r="128" ht="13.5" customHeight="1">
      <c r="A128" s="25"/>
      <c r="B128" s="2"/>
      <c r="C128" s="3" t="s">
        <v>317</v>
      </c>
      <c r="D128" s="6">
        <v>1.0</v>
      </c>
      <c r="E128" s="6">
        <v>1.0</v>
      </c>
      <c r="F128" s="6">
        <v>1.0</v>
      </c>
      <c r="G128" s="6">
        <v>1.0</v>
      </c>
      <c r="H128" s="30">
        <v>20.0</v>
      </c>
      <c r="I128" s="21">
        <v>1.0</v>
      </c>
      <c r="J128" s="21"/>
      <c r="K128" s="21"/>
      <c r="L128" s="21"/>
      <c r="M128" s="16">
        <f t="shared" si="3"/>
        <v>20</v>
      </c>
      <c r="N128" s="21">
        <f t="shared" si="4"/>
        <v>83</v>
      </c>
    </row>
    <row r="129" ht="13.5" customHeight="1">
      <c r="A129" s="25"/>
      <c r="B129" s="2"/>
      <c r="C129" s="3" t="s">
        <v>319</v>
      </c>
      <c r="D129" s="6">
        <v>1.0</v>
      </c>
      <c r="E129" s="6">
        <v>1.0</v>
      </c>
      <c r="F129" s="6">
        <v>1.0</v>
      </c>
      <c r="G129" s="6">
        <v>1.0</v>
      </c>
      <c r="H129" s="30">
        <v>20.0</v>
      </c>
      <c r="I129" s="21">
        <v>1.0</v>
      </c>
      <c r="J129" s="21"/>
      <c r="K129" s="21"/>
      <c r="L129" s="21"/>
      <c r="M129" s="16">
        <f t="shared" si="3"/>
        <v>20</v>
      </c>
      <c r="N129" s="21">
        <f t="shared" si="4"/>
        <v>83</v>
      </c>
    </row>
    <row r="130" ht="13.5" customHeight="1">
      <c r="A130" s="25"/>
      <c r="B130" s="2"/>
      <c r="C130" s="3" t="s">
        <v>320</v>
      </c>
      <c r="D130" s="6">
        <v>1.0</v>
      </c>
      <c r="E130" s="6">
        <v>1.0</v>
      </c>
      <c r="F130" s="6">
        <v>1.0</v>
      </c>
      <c r="G130" s="6">
        <v>1.0</v>
      </c>
      <c r="H130" s="30">
        <v>20.0</v>
      </c>
      <c r="I130" s="21">
        <v>1.0</v>
      </c>
      <c r="J130" s="21"/>
      <c r="K130" s="21"/>
      <c r="L130" s="21"/>
      <c r="M130" s="16">
        <f t="shared" si="3"/>
        <v>20</v>
      </c>
      <c r="N130" s="21">
        <f t="shared" si="4"/>
        <v>83</v>
      </c>
    </row>
    <row r="131" ht="13.5" customHeight="1">
      <c r="A131" s="25"/>
      <c r="B131" s="2"/>
      <c r="C131" s="3" t="s">
        <v>322</v>
      </c>
      <c r="D131" s="6">
        <v>1.0</v>
      </c>
      <c r="E131" s="6">
        <v>1.0</v>
      </c>
      <c r="F131" s="6">
        <v>1.0</v>
      </c>
      <c r="G131" s="6">
        <v>1.0</v>
      </c>
      <c r="H131" s="30">
        <v>20.0</v>
      </c>
      <c r="I131" s="21">
        <v>1.0</v>
      </c>
      <c r="J131" s="21"/>
      <c r="K131" s="21"/>
      <c r="L131" s="21"/>
      <c r="M131" s="16">
        <f t="shared" si="3"/>
        <v>20</v>
      </c>
      <c r="N131" s="21">
        <f t="shared" si="4"/>
        <v>83</v>
      </c>
    </row>
    <row r="132" ht="13.5" customHeight="1">
      <c r="A132" s="25"/>
      <c r="B132" s="2"/>
      <c r="C132" s="3" t="s">
        <v>323</v>
      </c>
      <c r="D132" s="6">
        <v>1.0</v>
      </c>
      <c r="E132" s="6">
        <v>1.0</v>
      </c>
      <c r="F132" s="6">
        <v>1.0</v>
      </c>
      <c r="G132" s="6">
        <v>1.0</v>
      </c>
      <c r="H132" s="30">
        <v>20.0</v>
      </c>
      <c r="I132" s="21">
        <v>1.0</v>
      </c>
      <c r="J132" s="21"/>
      <c r="K132" s="21"/>
      <c r="L132" s="21"/>
      <c r="M132" s="16">
        <f t="shared" si="3"/>
        <v>20</v>
      </c>
      <c r="N132" s="21">
        <f t="shared" si="4"/>
        <v>83</v>
      </c>
    </row>
    <row r="133" ht="13.5" customHeight="1">
      <c r="A133" s="25"/>
      <c r="B133" s="2"/>
      <c r="C133" s="3" t="s">
        <v>366</v>
      </c>
      <c r="D133" s="6">
        <v>1.0</v>
      </c>
      <c r="E133" s="6">
        <v>1.0</v>
      </c>
      <c r="F133" s="6">
        <v>1.0</v>
      </c>
      <c r="G133" s="6">
        <v>1.0</v>
      </c>
      <c r="H133" s="30">
        <v>30.0</v>
      </c>
      <c r="I133" s="21">
        <v>1.0</v>
      </c>
      <c r="J133" s="21"/>
      <c r="K133" s="21"/>
      <c r="L133" s="21"/>
      <c r="M133" s="16">
        <f t="shared" si="3"/>
        <v>30</v>
      </c>
      <c r="N133" s="21">
        <f t="shared" si="4"/>
        <v>77</v>
      </c>
    </row>
    <row r="134" ht="13.5" customHeight="1">
      <c r="A134" s="25"/>
      <c r="B134" s="2"/>
      <c r="C134" s="3" t="s">
        <v>367</v>
      </c>
      <c r="D134" s="6">
        <v>1.0</v>
      </c>
      <c r="E134" s="6">
        <v>1.0</v>
      </c>
      <c r="F134" s="6">
        <v>1.0</v>
      </c>
      <c r="G134" s="6">
        <v>1.0</v>
      </c>
      <c r="H134" s="30">
        <v>30.0</v>
      </c>
      <c r="I134" s="21">
        <v>1.0</v>
      </c>
      <c r="J134" s="21"/>
      <c r="K134" s="21"/>
      <c r="L134" s="21"/>
      <c r="M134" s="16">
        <f t="shared" si="3"/>
        <v>30</v>
      </c>
      <c r="N134" s="21">
        <f t="shared" si="4"/>
        <v>77</v>
      </c>
    </row>
    <row r="135" ht="13.5" customHeight="1">
      <c r="A135" s="25"/>
      <c r="B135" s="2"/>
      <c r="C135" s="3" t="s">
        <v>369</v>
      </c>
      <c r="D135" s="6">
        <v>1.0</v>
      </c>
      <c r="E135" s="6">
        <v>1.0</v>
      </c>
      <c r="F135" s="6">
        <v>1.0</v>
      </c>
      <c r="G135" s="6">
        <v>1.0</v>
      </c>
      <c r="H135" s="30">
        <v>30.0</v>
      </c>
      <c r="I135" s="21">
        <v>1.0</v>
      </c>
      <c r="J135" s="21"/>
      <c r="K135" s="21"/>
      <c r="L135" s="21"/>
      <c r="M135" s="16">
        <f t="shared" si="3"/>
        <v>30</v>
      </c>
      <c r="N135" s="21">
        <f t="shared" si="4"/>
        <v>77</v>
      </c>
    </row>
    <row r="136" ht="13.5" customHeight="1">
      <c r="A136" s="25"/>
      <c r="B136" s="2"/>
      <c r="C136" s="3" t="s">
        <v>370</v>
      </c>
      <c r="D136" s="6">
        <v>1.0</v>
      </c>
      <c r="E136" s="6">
        <v>1.0</v>
      </c>
      <c r="F136" s="6">
        <v>1.0</v>
      </c>
      <c r="G136" s="6">
        <v>1.0</v>
      </c>
      <c r="H136" s="30">
        <v>30.0</v>
      </c>
      <c r="I136" s="21">
        <v>1.0</v>
      </c>
      <c r="J136" s="21"/>
      <c r="K136" s="21"/>
      <c r="L136" s="21"/>
      <c r="M136" s="16">
        <f t="shared" si="3"/>
        <v>30</v>
      </c>
      <c r="N136" s="21">
        <f t="shared" si="4"/>
        <v>77</v>
      </c>
    </row>
    <row r="137" ht="13.5" customHeight="1">
      <c r="A137" s="25"/>
      <c r="B137" s="2"/>
      <c r="C137" s="3" t="s">
        <v>372</v>
      </c>
      <c r="D137" s="6">
        <v>1.0</v>
      </c>
      <c r="E137" s="6">
        <v>1.0</v>
      </c>
      <c r="F137" s="6">
        <v>1.0</v>
      </c>
      <c r="G137" s="6">
        <v>1.0</v>
      </c>
      <c r="H137" s="30">
        <v>30.0</v>
      </c>
      <c r="I137" s="21">
        <v>1.0</v>
      </c>
      <c r="J137" s="21"/>
      <c r="K137" s="21"/>
      <c r="L137" s="21"/>
      <c r="M137" s="16">
        <f t="shared" si="3"/>
        <v>30</v>
      </c>
      <c r="N137" s="21">
        <f t="shared" si="4"/>
        <v>77</v>
      </c>
    </row>
    <row r="138" ht="13.5" customHeight="1">
      <c r="A138" s="25"/>
      <c r="B138" s="2"/>
      <c r="C138" s="3" t="s">
        <v>373</v>
      </c>
      <c r="D138" s="6">
        <v>1.0</v>
      </c>
      <c r="E138" s="6">
        <v>1.0</v>
      </c>
      <c r="F138" s="6">
        <v>1.0</v>
      </c>
      <c r="G138" s="6">
        <v>1.0</v>
      </c>
      <c r="H138" s="30">
        <v>30.0</v>
      </c>
      <c r="I138" s="21">
        <v>1.0</v>
      </c>
      <c r="J138" s="21"/>
      <c r="K138" s="21"/>
      <c r="L138" s="21"/>
      <c r="M138" s="16">
        <f t="shared" si="3"/>
        <v>30</v>
      </c>
      <c r="N138" s="21">
        <f t="shared" si="4"/>
        <v>77</v>
      </c>
    </row>
    <row r="139" ht="13.5" customHeight="1">
      <c r="A139" s="25"/>
      <c r="B139" s="2"/>
      <c r="C139" s="3" t="s">
        <v>375</v>
      </c>
      <c r="D139" s="6">
        <v>1.0</v>
      </c>
      <c r="E139" s="6">
        <v>1.0</v>
      </c>
      <c r="F139" s="6">
        <v>1.0</v>
      </c>
      <c r="G139" s="6">
        <v>1.0</v>
      </c>
      <c r="H139" s="30">
        <v>30.0</v>
      </c>
      <c r="I139" s="21">
        <v>1.0</v>
      </c>
      <c r="J139" s="21"/>
      <c r="K139" s="21"/>
      <c r="L139" s="21"/>
      <c r="M139" s="16">
        <f t="shared" si="3"/>
        <v>30</v>
      </c>
      <c r="N139" s="21">
        <f t="shared" si="4"/>
        <v>77</v>
      </c>
    </row>
    <row r="140" ht="13.5" customHeight="1">
      <c r="A140" s="25"/>
      <c r="B140" s="2"/>
      <c r="C140" s="3" t="s">
        <v>376</v>
      </c>
      <c r="D140" s="6">
        <v>1.0</v>
      </c>
      <c r="E140" s="6">
        <v>1.0</v>
      </c>
      <c r="F140" s="6">
        <v>1.0</v>
      </c>
      <c r="G140" s="6">
        <v>1.0</v>
      </c>
      <c r="H140" s="30">
        <v>30.0</v>
      </c>
      <c r="I140" s="21">
        <v>1.0</v>
      </c>
      <c r="J140" s="21"/>
      <c r="K140" s="21"/>
      <c r="L140" s="21"/>
      <c r="M140" s="16">
        <f t="shared" si="3"/>
        <v>30</v>
      </c>
      <c r="N140" s="21">
        <f t="shared" si="4"/>
        <v>77</v>
      </c>
    </row>
    <row r="141" ht="13.5" customHeight="1">
      <c r="A141" s="25"/>
      <c r="B141" s="2"/>
      <c r="C141" s="3" t="s">
        <v>378</v>
      </c>
      <c r="D141" s="6">
        <v>1.0</v>
      </c>
      <c r="E141" s="6">
        <v>1.0</v>
      </c>
      <c r="F141" s="6">
        <v>1.0</v>
      </c>
      <c r="G141" s="6">
        <v>1.0</v>
      </c>
      <c r="H141" s="30">
        <v>30.0</v>
      </c>
      <c r="I141" s="21">
        <v>1.0</v>
      </c>
      <c r="J141" s="21"/>
      <c r="K141" s="21"/>
      <c r="L141" s="21"/>
      <c r="M141" s="16">
        <f t="shared" si="3"/>
        <v>30</v>
      </c>
      <c r="N141" s="21">
        <f t="shared" si="4"/>
        <v>77</v>
      </c>
    </row>
    <row r="142" ht="13.5" customHeight="1">
      <c r="A142" s="25"/>
      <c r="B142" s="2"/>
      <c r="C142" s="3" t="s">
        <v>326</v>
      </c>
      <c r="D142" s="6">
        <v>1.0</v>
      </c>
      <c r="E142" s="6">
        <v>1.0</v>
      </c>
      <c r="F142" s="6">
        <v>1.0</v>
      </c>
      <c r="G142" s="6">
        <v>1.0</v>
      </c>
      <c r="H142" s="30">
        <v>20.0</v>
      </c>
      <c r="I142" s="21">
        <v>1.0</v>
      </c>
      <c r="J142" s="21"/>
      <c r="K142" s="21"/>
      <c r="L142" s="21"/>
      <c r="M142" s="16">
        <f t="shared" si="3"/>
        <v>20</v>
      </c>
      <c r="N142" s="21">
        <f t="shared" si="4"/>
        <v>83</v>
      </c>
    </row>
    <row r="143" ht="13.5" customHeight="1">
      <c r="A143" s="25"/>
      <c r="B143" s="2"/>
      <c r="C143" s="3" t="s">
        <v>327</v>
      </c>
      <c r="D143" s="6">
        <v>1.0</v>
      </c>
      <c r="E143" s="6">
        <v>1.0</v>
      </c>
      <c r="F143" s="6">
        <v>1.0</v>
      </c>
      <c r="G143" s="6">
        <v>1.0</v>
      </c>
      <c r="H143" s="30">
        <v>20.0</v>
      </c>
      <c r="I143" s="21">
        <v>1.0</v>
      </c>
      <c r="J143" s="21"/>
      <c r="K143" s="21"/>
      <c r="L143" s="21"/>
      <c r="M143" s="16">
        <f t="shared" si="3"/>
        <v>20</v>
      </c>
      <c r="N143" s="21">
        <f t="shared" si="4"/>
        <v>83</v>
      </c>
    </row>
    <row r="144" ht="13.5" customHeight="1">
      <c r="A144" s="25"/>
      <c r="B144" s="2"/>
      <c r="C144" s="3" t="s">
        <v>329</v>
      </c>
      <c r="D144" s="6">
        <v>1.0</v>
      </c>
      <c r="E144" s="6">
        <v>1.0</v>
      </c>
      <c r="F144" s="6">
        <v>1.0</v>
      </c>
      <c r="G144" s="6">
        <v>1.0</v>
      </c>
      <c r="H144" s="30">
        <v>20.0</v>
      </c>
      <c r="I144" s="21">
        <v>1.0</v>
      </c>
      <c r="J144" s="21"/>
      <c r="K144" s="21"/>
      <c r="L144" s="21"/>
      <c r="M144" s="16">
        <f t="shared" si="3"/>
        <v>20</v>
      </c>
      <c r="N144" s="21">
        <f t="shared" si="4"/>
        <v>83</v>
      </c>
    </row>
    <row r="145" ht="13.5" customHeight="1">
      <c r="A145" s="25"/>
      <c r="B145" s="2"/>
      <c r="C145" s="3" t="s">
        <v>330</v>
      </c>
      <c r="D145" s="6">
        <v>1.0</v>
      </c>
      <c r="E145" s="6">
        <v>1.0</v>
      </c>
      <c r="F145" s="6">
        <v>1.0</v>
      </c>
      <c r="G145" s="6">
        <v>1.0</v>
      </c>
      <c r="H145" s="30">
        <v>20.0</v>
      </c>
      <c r="I145" s="21">
        <v>1.0</v>
      </c>
      <c r="J145" s="21"/>
      <c r="K145" s="21"/>
      <c r="L145" s="21"/>
      <c r="M145" s="16">
        <f t="shared" si="3"/>
        <v>20</v>
      </c>
      <c r="N145" s="21">
        <f t="shared" si="4"/>
        <v>83</v>
      </c>
    </row>
    <row r="146" ht="13.5" customHeight="1">
      <c r="A146" s="25"/>
      <c r="B146" s="2"/>
      <c r="C146" s="3" t="s">
        <v>332</v>
      </c>
      <c r="D146" s="6">
        <v>1.0</v>
      </c>
      <c r="E146" s="6">
        <v>1.0</v>
      </c>
      <c r="F146" s="6">
        <v>1.0</v>
      </c>
      <c r="G146" s="6">
        <v>1.0</v>
      </c>
      <c r="H146" s="30">
        <v>20.0</v>
      </c>
      <c r="I146" s="21">
        <v>1.0</v>
      </c>
      <c r="J146" s="21"/>
      <c r="K146" s="21"/>
      <c r="L146" s="21"/>
      <c r="M146" s="16">
        <f t="shared" si="3"/>
        <v>20</v>
      </c>
      <c r="N146" s="21">
        <f t="shared" si="4"/>
        <v>83</v>
      </c>
    </row>
    <row r="147" ht="13.5" customHeight="1">
      <c r="A147" s="25"/>
      <c r="B147" s="2"/>
      <c r="C147" s="3" t="s">
        <v>333</v>
      </c>
      <c r="D147" s="6">
        <v>1.0</v>
      </c>
      <c r="E147" s="6">
        <v>1.0</v>
      </c>
      <c r="F147" s="6">
        <v>1.0</v>
      </c>
      <c r="G147" s="6">
        <v>1.0</v>
      </c>
      <c r="H147" s="30">
        <v>20.0</v>
      </c>
      <c r="I147" s="21">
        <v>1.0</v>
      </c>
      <c r="J147" s="21"/>
      <c r="K147" s="21"/>
      <c r="L147" s="21"/>
      <c r="M147" s="16">
        <f t="shared" si="3"/>
        <v>20</v>
      </c>
      <c r="N147" s="21">
        <f t="shared" si="4"/>
        <v>83</v>
      </c>
    </row>
    <row r="148" ht="13.5" customHeight="1">
      <c r="A148" s="25"/>
      <c r="B148" s="2"/>
      <c r="C148" s="3" t="s">
        <v>334</v>
      </c>
      <c r="D148" s="6">
        <v>1.0</v>
      </c>
      <c r="E148" s="6">
        <v>1.0</v>
      </c>
      <c r="F148" s="6">
        <v>1.0</v>
      </c>
      <c r="G148" s="6">
        <v>1.0</v>
      </c>
      <c r="H148" s="30">
        <v>20.0</v>
      </c>
      <c r="I148" s="21">
        <v>1.0</v>
      </c>
      <c r="J148" s="21"/>
      <c r="K148" s="21"/>
      <c r="L148" s="21"/>
      <c r="M148" s="16">
        <f t="shared" si="3"/>
        <v>20</v>
      </c>
      <c r="N148" s="21">
        <f t="shared" si="4"/>
        <v>83</v>
      </c>
    </row>
    <row r="149" ht="13.5" customHeight="1">
      <c r="A149" s="31" t="s">
        <v>490</v>
      </c>
      <c r="B149" s="2"/>
      <c r="C149" s="3"/>
      <c r="D149" s="6"/>
      <c r="E149" s="6"/>
      <c r="F149" s="6"/>
      <c r="G149" s="32"/>
      <c r="H149" s="30"/>
      <c r="I149" s="21"/>
      <c r="J149" s="33"/>
      <c r="K149" s="21"/>
      <c r="L149" s="21"/>
      <c r="M149" s="16" t="str">
        <f t="shared" si="3"/>
        <v/>
      </c>
      <c r="N149" s="21" t="str">
        <f t="shared" si="4"/>
        <v/>
      </c>
    </row>
    <row r="150" ht="13.5" customHeight="1">
      <c r="A150" s="25"/>
      <c r="B150" s="2"/>
      <c r="C150" s="3" t="s">
        <v>382</v>
      </c>
      <c r="D150" s="6">
        <v>1.0</v>
      </c>
      <c r="E150" s="6">
        <v>1.0</v>
      </c>
      <c r="F150" s="6">
        <v>1.0</v>
      </c>
      <c r="G150" s="32">
        <v>2.0</v>
      </c>
      <c r="H150" s="30">
        <v>100.0</v>
      </c>
      <c r="I150" s="21">
        <v>1.0</v>
      </c>
      <c r="J150" s="33">
        <v>4.0</v>
      </c>
      <c r="K150" s="21"/>
      <c r="L150" s="21"/>
      <c r="M150" s="16">
        <f t="shared" si="3"/>
        <v>208</v>
      </c>
      <c r="N150" s="21">
        <f t="shared" si="4"/>
        <v>32</v>
      </c>
    </row>
    <row r="151" ht="13.5" customHeight="1">
      <c r="A151" s="25"/>
      <c r="B151" s="2"/>
      <c r="C151" s="3" t="s">
        <v>384</v>
      </c>
      <c r="D151" s="6">
        <v>1.0</v>
      </c>
      <c r="E151" s="6">
        <v>1.0</v>
      </c>
      <c r="F151" s="6">
        <v>1.0</v>
      </c>
      <c r="G151" s="32">
        <v>2.0</v>
      </c>
      <c r="H151" s="30">
        <v>100.0</v>
      </c>
      <c r="I151" s="21">
        <v>1.0</v>
      </c>
      <c r="J151" s="33">
        <v>4.0</v>
      </c>
      <c r="K151" s="21"/>
      <c r="L151" s="21"/>
      <c r="M151" s="16">
        <f t="shared" si="3"/>
        <v>208</v>
      </c>
      <c r="N151" s="21">
        <f t="shared" si="4"/>
        <v>32</v>
      </c>
    </row>
    <row r="152" ht="13.5" customHeight="1">
      <c r="A152" s="25"/>
      <c r="B152" s="2"/>
      <c r="C152" s="3" t="s">
        <v>386</v>
      </c>
      <c r="D152" s="6">
        <v>1.0</v>
      </c>
      <c r="E152" s="6">
        <v>1.0</v>
      </c>
      <c r="F152" s="6">
        <v>1.0</v>
      </c>
      <c r="G152" s="32">
        <v>2.0</v>
      </c>
      <c r="H152" s="30">
        <v>100.0</v>
      </c>
      <c r="I152" s="21">
        <v>1.0</v>
      </c>
      <c r="J152" s="33">
        <v>4.0</v>
      </c>
      <c r="K152" s="21"/>
      <c r="L152" s="21"/>
      <c r="M152" s="16">
        <f t="shared" si="3"/>
        <v>208</v>
      </c>
      <c r="N152" s="21">
        <f t="shared" si="4"/>
        <v>32</v>
      </c>
    </row>
    <row r="153" ht="13.5" customHeight="1">
      <c r="A153" s="25"/>
      <c r="B153" s="2"/>
      <c r="C153" s="3" t="s">
        <v>387</v>
      </c>
      <c r="D153" s="6">
        <v>1.0</v>
      </c>
      <c r="E153" s="6">
        <v>1.0</v>
      </c>
      <c r="F153" s="6">
        <v>1.0</v>
      </c>
      <c r="G153" s="32">
        <v>2.0</v>
      </c>
      <c r="H153" s="30">
        <v>100.0</v>
      </c>
      <c r="I153" s="21">
        <v>1.0</v>
      </c>
      <c r="J153" s="33">
        <v>4.0</v>
      </c>
      <c r="K153" s="21"/>
      <c r="L153" s="21"/>
      <c r="M153" s="16">
        <f t="shared" si="3"/>
        <v>208</v>
      </c>
      <c r="N153" s="21">
        <f t="shared" si="4"/>
        <v>32</v>
      </c>
    </row>
    <row r="154" ht="13.5" customHeight="1">
      <c r="A154" s="25"/>
      <c r="B154" s="2"/>
      <c r="C154" s="3" t="s">
        <v>389</v>
      </c>
      <c r="D154" s="6">
        <v>1.0</v>
      </c>
      <c r="E154" s="6">
        <v>1.0</v>
      </c>
      <c r="F154" s="6">
        <v>1.0</v>
      </c>
      <c r="G154" s="32">
        <v>2.0</v>
      </c>
      <c r="H154" s="30">
        <v>100.0</v>
      </c>
      <c r="I154" s="21">
        <v>1.0</v>
      </c>
      <c r="J154" s="33">
        <v>4.0</v>
      </c>
      <c r="K154" s="21"/>
      <c r="L154" s="21"/>
      <c r="M154" s="16">
        <f t="shared" si="3"/>
        <v>208</v>
      </c>
      <c r="N154" s="21">
        <f t="shared" si="4"/>
        <v>32</v>
      </c>
    </row>
    <row r="155" ht="13.5" customHeight="1">
      <c r="A155" s="25"/>
      <c r="B155" s="2"/>
      <c r="C155" s="3" t="s">
        <v>390</v>
      </c>
      <c r="D155" s="6">
        <v>1.0</v>
      </c>
      <c r="E155" s="6">
        <v>1.0</v>
      </c>
      <c r="F155" s="6">
        <v>1.0</v>
      </c>
      <c r="G155" s="32">
        <v>2.0</v>
      </c>
      <c r="H155" s="30">
        <v>100.0</v>
      </c>
      <c r="I155" s="21">
        <v>1.0</v>
      </c>
      <c r="J155" s="33">
        <v>4.0</v>
      </c>
      <c r="K155" s="21"/>
      <c r="L155" s="21"/>
      <c r="M155" s="16">
        <f t="shared" si="3"/>
        <v>208</v>
      </c>
      <c r="N155" s="21">
        <f t="shared" si="4"/>
        <v>32</v>
      </c>
    </row>
    <row r="156" ht="13.5" customHeight="1">
      <c r="A156" s="25"/>
      <c r="B156" s="2"/>
      <c r="C156" s="3" t="s">
        <v>392</v>
      </c>
      <c r="D156" s="6">
        <v>1.0</v>
      </c>
      <c r="E156" s="6">
        <v>1.0</v>
      </c>
      <c r="F156" s="6">
        <v>1.0</v>
      </c>
      <c r="G156" s="32">
        <v>2.0</v>
      </c>
      <c r="H156" s="30">
        <v>100.0</v>
      </c>
      <c r="I156" s="21">
        <v>1.0</v>
      </c>
      <c r="J156" s="33">
        <v>6.0</v>
      </c>
      <c r="K156" s="21"/>
      <c r="L156" s="21"/>
      <c r="M156" s="16">
        <f t="shared" si="3"/>
        <v>212</v>
      </c>
      <c r="N156" s="21">
        <f t="shared" si="4"/>
        <v>32</v>
      </c>
    </row>
    <row r="157" ht="13.5" customHeight="1">
      <c r="A157" s="25"/>
      <c r="B157" s="2"/>
      <c r="C157" s="3" t="s">
        <v>393</v>
      </c>
      <c r="D157" s="6">
        <v>1.0</v>
      </c>
      <c r="E157" s="6">
        <v>1.0</v>
      </c>
      <c r="F157" s="6">
        <v>1.0</v>
      </c>
      <c r="G157" s="32">
        <v>2.0</v>
      </c>
      <c r="H157" s="30">
        <v>100.0</v>
      </c>
      <c r="I157" s="21">
        <v>1.0</v>
      </c>
      <c r="J157" s="33">
        <v>6.0</v>
      </c>
      <c r="K157" s="21"/>
      <c r="L157" s="21"/>
      <c r="M157" s="16">
        <f t="shared" si="3"/>
        <v>212</v>
      </c>
      <c r="N157" s="21">
        <f t="shared" si="4"/>
        <v>32</v>
      </c>
    </row>
    <row r="158" ht="13.5" customHeight="1">
      <c r="A158" s="25"/>
      <c r="B158" s="2"/>
      <c r="C158" s="3" t="s">
        <v>395</v>
      </c>
      <c r="D158" s="6">
        <v>1.0</v>
      </c>
      <c r="E158" s="6">
        <v>1.0</v>
      </c>
      <c r="F158" s="6">
        <v>1.0</v>
      </c>
      <c r="G158" s="32">
        <v>2.0</v>
      </c>
      <c r="H158" s="30">
        <v>100.0</v>
      </c>
      <c r="I158" s="21">
        <v>1.0</v>
      </c>
      <c r="J158" s="33">
        <v>6.0</v>
      </c>
      <c r="K158" s="21"/>
      <c r="L158" s="21"/>
      <c r="M158" s="16">
        <f t="shared" si="3"/>
        <v>212</v>
      </c>
      <c r="N158" s="21">
        <f t="shared" si="4"/>
        <v>32</v>
      </c>
    </row>
    <row r="159" ht="13.5" customHeight="1">
      <c r="A159" s="25"/>
      <c r="B159" s="2"/>
      <c r="C159" s="3" t="s">
        <v>396</v>
      </c>
      <c r="D159" s="6">
        <v>1.0</v>
      </c>
      <c r="E159" s="6">
        <v>1.0</v>
      </c>
      <c r="F159" s="6">
        <v>1.0</v>
      </c>
      <c r="G159" s="32">
        <v>2.0</v>
      </c>
      <c r="H159" s="30">
        <v>100.0</v>
      </c>
      <c r="I159" s="21">
        <v>1.0</v>
      </c>
      <c r="J159" s="33">
        <v>6.0</v>
      </c>
      <c r="K159" s="21"/>
      <c r="L159" s="21"/>
      <c r="M159" s="16">
        <f t="shared" si="3"/>
        <v>212</v>
      </c>
      <c r="N159" s="21">
        <f t="shared" si="4"/>
        <v>32</v>
      </c>
    </row>
    <row r="160" ht="13.5" customHeight="1">
      <c r="A160" s="25"/>
      <c r="B160" s="2"/>
      <c r="C160" s="3" t="s">
        <v>398</v>
      </c>
      <c r="D160" s="6">
        <v>1.0</v>
      </c>
      <c r="E160" s="6">
        <v>1.0</v>
      </c>
      <c r="F160" s="6">
        <v>1.0</v>
      </c>
      <c r="G160" s="32">
        <v>2.0</v>
      </c>
      <c r="H160" s="30">
        <v>100.0</v>
      </c>
      <c r="I160" s="21">
        <v>1.0</v>
      </c>
      <c r="J160" s="33">
        <v>6.0</v>
      </c>
      <c r="K160" s="21"/>
      <c r="L160" s="21"/>
      <c r="M160" s="16">
        <f t="shared" si="3"/>
        <v>212</v>
      </c>
      <c r="N160" s="21">
        <f t="shared" si="4"/>
        <v>32</v>
      </c>
    </row>
    <row r="161" ht="13.5" customHeight="1">
      <c r="A161" s="25"/>
      <c r="B161" s="2"/>
      <c r="C161" s="3" t="s">
        <v>399</v>
      </c>
      <c r="D161" s="6">
        <v>1.0</v>
      </c>
      <c r="E161" s="6">
        <v>1.0</v>
      </c>
      <c r="F161" s="6">
        <v>1.0</v>
      </c>
      <c r="G161" s="32">
        <v>2.0</v>
      </c>
      <c r="H161" s="30">
        <v>100.0</v>
      </c>
      <c r="I161" s="21">
        <v>1.0</v>
      </c>
      <c r="J161" s="33">
        <v>6.0</v>
      </c>
      <c r="K161" s="21"/>
      <c r="L161" s="21"/>
      <c r="M161" s="16">
        <f t="shared" si="3"/>
        <v>212</v>
      </c>
      <c r="N161" s="21">
        <f t="shared" si="4"/>
        <v>32</v>
      </c>
    </row>
    <row r="162" ht="13.5" customHeight="1">
      <c r="A162" s="25"/>
      <c r="B162" s="2"/>
      <c r="C162" s="3" t="s">
        <v>400</v>
      </c>
      <c r="D162" s="6">
        <v>1.0</v>
      </c>
      <c r="E162" s="6">
        <v>1.0</v>
      </c>
      <c r="F162" s="6">
        <v>1.0</v>
      </c>
      <c r="G162" s="32">
        <v>2.0</v>
      </c>
      <c r="H162" s="30">
        <v>100.0</v>
      </c>
      <c r="I162" s="21">
        <v>1.0</v>
      </c>
      <c r="J162" s="33">
        <v>6.0</v>
      </c>
      <c r="K162" s="21"/>
      <c r="L162" s="21"/>
      <c r="M162" s="16">
        <f t="shared" si="3"/>
        <v>212</v>
      </c>
      <c r="N162" s="21">
        <f t="shared" si="4"/>
        <v>32</v>
      </c>
    </row>
    <row r="163" ht="13.5" customHeight="1">
      <c r="A163" s="25"/>
      <c r="B163" s="2"/>
      <c r="C163" s="3" t="s">
        <v>401</v>
      </c>
      <c r="D163" s="6">
        <v>1.0</v>
      </c>
      <c r="E163" s="6">
        <v>1.0</v>
      </c>
      <c r="F163" s="6">
        <v>1.0</v>
      </c>
      <c r="G163" s="32">
        <v>2.0</v>
      </c>
      <c r="H163" s="30">
        <v>100.0</v>
      </c>
      <c r="I163" s="21">
        <v>1.0</v>
      </c>
      <c r="J163" s="33">
        <v>6.0</v>
      </c>
      <c r="K163" s="21"/>
      <c r="L163" s="21"/>
      <c r="M163" s="16">
        <f t="shared" si="3"/>
        <v>212</v>
      </c>
      <c r="N163" s="21">
        <f t="shared" si="4"/>
        <v>32</v>
      </c>
    </row>
    <row r="164" ht="13.5" customHeight="1">
      <c r="A164" s="25"/>
      <c r="B164" s="2"/>
      <c r="C164" s="3" t="s">
        <v>402</v>
      </c>
      <c r="D164" s="6">
        <v>1.0</v>
      </c>
      <c r="E164" s="6">
        <v>1.0</v>
      </c>
      <c r="F164" s="6">
        <v>1.0</v>
      </c>
      <c r="G164" s="32">
        <v>2.0</v>
      </c>
      <c r="H164" s="30">
        <v>100.0</v>
      </c>
      <c r="I164" s="21">
        <v>1.0</v>
      </c>
      <c r="J164" s="33">
        <v>6.0</v>
      </c>
      <c r="K164" s="21"/>
      <c r="L164" s="21"/>
      <c r="M164" s="16">
        <f t="shared" si="3"/>
        <v>212</v>
      </c>
      <c r="N164" s="21">
        <f t="shared" si="4"/>
        <v>32</v>
      </c>
    </row>
    <row r="165" ht="13.5" customHeight="1">
      <c r="A165" s="25"/>
      <c r="B165" s="2"/>
      <c r="C165" s="3" t="s">
        <v>403</v>
      </c>
      <c r="D165" s="6">
        <v>1.0</v>
      </c>
      <c r="E165" s="6">
        <v>1.0</v>
      </c>
      <c r="F165" s="6">
        <v>1.0</v>
      </c>
      <c r="G165" s="32">
        <v>2.0</v>
      </c>
      <c r="H165" s="30">
        <v>100.0</v>
      </c>
      <c r="I165" s="21">
        <v>1.0</v>
      </c>
      <c r="J165" s="33">
        <v>6.0</v>
      </c>
      <c r="K165" s="21"/>
      <c r="L165" s="21"/>
      <c r="M165" s="16">
        <f t="shared" si="3"/>
        <v>212</v>
      </c>
      <c r="N165" s="21">
        <f t="shared" si="4"/>
        <v>32</v>
      </c>
    </row>
    <row r="166" ht="13.5" customHeight="1">
      <c r="A166" s="25"/>
      <c r="B166" s="2"/>
      <c r="C166" s="3" t="s">
        <v>404</v>
      </c>
      <c r="D166" s="6">
        <v>1.0</v>
      </c>
      <c r="E166" s="6">
        <v>1.0</v>
      </c>
      <c r="F166" s="6">
        <v>1.0</v>
      </c>
      <c r="G166" s="32">
        <v>2.0</v>
      </c>
      <c r="H166" s="30">
        <v>100.0</v>
      </c>
      <c r="I166" s="21">
        <v>1.0</v>
      </c>
      <c r="J166" s="33">
        <v>6.0</v>
      </c>
      <c r="K166" s="21"/>
      <c r="L166" s="21"/>
      <c r="M166" s="16">
        <f t="shared" si="3"/>
        <v>212</v>
      </c>
      <c r="N166" s="21">
        <f t="shared" si="4"/>
        <v>32</v>
      </c>
    </row>
    <row r="167" ht="13.5" customHeight="1">
      <c r="A167" s="25"/>
      <c r="B167" s="2"/>
      <c r="C167" s="3" t="s">
        <v>405</v>
      </c>
      <c r="D167" s="6">
        <v>1.0</v>
      </c>
      <c r="E167" s="6">
        <v>1.0</v>
      </c>
      <c r="F167" s="6">
        <v>1.0</v>
      </c>
      <c r="G167" s="32">
        <v>2.0</v>
      </c>
      <c r="H167" s="30">
        <v>100.0</v>
      </c>
      <c r="I167" s="21">
        <v>1.0</v>
      </c>
      <c r="J167" s="33">
        <v>6.0</v>
      </c>
      <c r="K167" s="21"/>
      <c r="L167" s="21"/>
      <c r="M167" s="16">
        <f t="shared" si="3"/>
        <v>212</v>
      </c>
      <c r="N167" s="21">
        <f t="shared" si="4"/>
        <v>32</v>
      </c>
    </row>
    <row r="168" ht="13.5" customHeight="1">
      <c r="A168" s="25"/>
      <c r="B168" s="2"/>
      <c r="C168" s="3" t="s">
        <v>406</v>
      </c>
      <c r="D168" s="6">
        <v>1.0</v>
      </c>
      <c r="E168" s="6">
        <v>1.0</v>
      </c>
      <c r="F168" s="6">
        <v>1.0</v>
      </c>
      <c r="G168" s="32">
        <v>2.0</v>
      </c>
      <c r="H168" s="30">
        <v>100.0</v>
      </c>
      <c r="I168" s="21">
        <v>1.0</v>
      </c>
      <c r="J168" s="33">
        <v>10.0</v>
      </c>
      <c r="K168" s="21"/>
      <c r="L168" s="21"/>
      <c r="M168" s="16">
        <f t="shared" si="3"/>
        <v>220</v>
      </c>
      <c r="N168" s="21">
        <f t="shared" si="4"/>
        <v>31</v>
      </c>
    </row>
    <row r="169" ht="13.5" customHeight="1">
      <c r="A169" s="25"/>
      <c r="B169" s="2"/>
      <c r="C169" s="3" t="s">
        <v>407</v>
      </c>
      <c r="D169" s="6">
        <v>1.0</v>
      </c>
      <c r="E169" s="6">
        <v>1.0</v>
      </c>
      <c r="F169" s="6">
        <v>1.0</v>
      </c>
      <c r="G169" s="32">
        <v>2.0</v>
      </c>
      <c r="H169" s="30">
        <v>100.0</v>
      </c>
      <c r="I169" s="21">
        <v>1.0</v>
      </c>
      <c r="J169" s="33">
        <v>10.0</v>
      </c>
      <c r="K169" s="21"/>
      <c r="L169" s="21"/>
      <c r="M169" s="16">
        <f t="shared" si="3"/>
        <v>220</v>
      </c>
      <c r="N169" s="21">
        <f t="shared" si="4"/>
        <v>31</v>
      </c>
    </row>
    <row r="170" ht="13.5" customHeight="1">
      <c r="A170" s="25"/>
      <c r="B170" s="2"/>
      <c r="C170" s="3" t="s">
        <v>408</v>
      </c>
      <c r="D170" s="6">
        <v>1.0</v>
      </c>
      <c r="E170" s="6">
        <v>1.0</v>
      </c>
      <c r="F170" s="6">
        <v>1.0</v>
      </c>
      <c r="G170" s="32">
        <v>2.0</v>
      </c>
      <c r="H170" s="30">
        <v>100.0</v>
      </c>
      <c r="I170" s="21">
        <v>1.0</v>
      </c>
      <c r="J170" s="33">
        <v>10.0</v>
      </c>
      <c r="K170" s="21"/>
      <c r="L170" s="21"/>
      <c r="M170" s="16">
        <f t="shared" si="3"/>
        <v>220</v>
      </c>
      <c r="N170" s="21">
        <f t="shared" si="4"/>
        <v>31</v>
      </c>
    </row>
    <row r="171" ht="13.5" customHeight="1">
      <c r="A171" s="25"/>
      <c r="B171" s="2"/>
      <c r="C171" s="3" t="s">
        <v>409</v>
      </c>
      <c r="D171" s="6">
        <v>1.0</v>
      </c>
      <c r="E171" s="6">
        <v>1.0</v>
      </c>
      <c r="F171" s="6">
        <v>1.0</v>
      </c>
      <c r="G171" s="32">
        <v>2.0</v>
      </c>
      <c r="H171" s="30">
        <v>100.0</v>
      </c>
      <c r="I171" s="21">
        <v>1.0</v>
      </c>
      <c r="J171" s="33">
        <v>10.0</v>
      </c>
      <c r="K171" s="21"/>
      <c r="L171" s="21"/>
      <c r="M171" s="16">
        <f t="shared" si="3"/>
        <v>220</v>
      </c>
      <c r="N171" s="21">
        <f t="shared" si="4"/>
        <v>31</v>
      </c>
    </row>
    <row r="172" ht="13.5" customHeight="1">
      <c r="A172" s="25"/>
      <c r="B172" s="2"/>
      <c r="C172" s="3" t="s">
        <v>410</v>
      </c>
      <c r="D172" s="6">
        <v>1.0</v>
      </c>
      <c r="E172" s="6">
        <v>1.0</v>
      </c>
      <c r="F172" s="6">
        <v>1.0</v>
      </c>
      <c r="G172" s="32">
        <v>3.0</v>
      </c>
      <c r="H172" s="30">
        <v>100.0</v>
      </c>
      <c r="I172" s="21">
        <v>1.0</v>
      </c>
      <c r="J172" s="33">
        <v>8.0</v>
      </c>
      <c r="K172" s="21"/>
      <c r="L172" s="21"/>
      <c r="M172" s="16">
        <f t="shared" si="3"/>
        <v>316</v>
      </c>
      <c r="N172" s="21">
        <f t="shared" si="4"/>
        <v>24</v>
      </c>
    </row>
    <row r="173" ht="13.5" customHeight="1">
      <c r="A173" s="25"/>
      <c r="B173" s="2"/>
      <c r="C173" s="3" t="s">
        <v>411</v>
      </c>
      <c r="D173" s="6">
        <v>1.0</v>
      </c>
      <c r="E173" s="6">
        <v>1.0</v>
      </c>
      <c r="F173" s="6">
        <v>1.0</v>
      </c>
      <c r="G173" s="32">
        <v>3.0</v>
      </c>
      <c r="H173" s="30">
        <v>100.0</v>
      </c>
      <c r="I173" s="21">
        <v>1.0</v>
      </c>
      <c r="J173" s="33">
        <v>8.0</v>
      </c>
      <c r="K173" s="21"/>
      <c r="L173" s="21"/>
      <c r="M173" s="16">
        <f t="shared" si="3"/>
        <v>316</v>
      </c>
      <c r="N173" s="21">
        <f t="shared" si="4"/>
        <v>24</v>
      </c>
    </row>
    <row r="174" ht="13.5" customHeight="1">
      <c r="A174" s="25"/>
      <c r="B174" s="2"/>
      <c r="C174" s="3" t="s">
        <v>412</v>
      </c>
      <c r="D174" s="6">
        <v>1.0</v>
      </c>
      <c r="E174" s="6">
        <v>1.0</v>
      </c>
      <c r="F174" s="6">
        <v>1.0</v>
      </c>
      <c r="G174" s="32">
        <v>3.0</v>
      </c>
      <c r="H174" s="30">
        <v>100.0</v>
      </c>
      <c r="I174" s="21">
        <v>1.0</v>
      </c>
      <c r="J174" s="33">
        <v>10.0</v>
      </c>
      <c r="K174" s="21"/>
      <c r="L174" s="21"/>
      <c r="M174" s="16">
        <f t="shared" si="3"/>
        <v>320</v>
      </c>
      <c r="N174" s="21">
        <f t="shared" si="4"/>
        <v>24</v>
      </c>
    </row>
    <row r="175" ht="13.5" customHeight="1">
      <c r="A175" s="25"/>
      <c r="B175" s="2"/>
      <c r="C175" s="3" t="s">
        <v>413</v>
      </c>
      <c r="D175" s="6">
        <v>1.0</v>
      </c>
      <c r="E175" s="6">
        <v>1.0</v>
      </c>
      <c r="F175" s="6">
        <v>1.0</v>
      </c>
      <c r="G175" s="32">
        <v>3.0</v>
      </c>
      <c r="H175" s="30">
        <v>100.0</v>
      </c>
      <c r="I175" s="21">
        <v>1.0</v>
      </c>
      <c r="J175" s="33">
        <v>10.0</v>
      </c>
      <c r="K175" s="21"/>
      <c r="L175" s="21"/>
      <c r="M175" s="16">
        <f t="shared" si="3"/>
        <v>320</v>
      </c>
      <c r="N175" s="21">
        <f t="shared" si="4"/>
        <v>24</v>
      </c>
    </row>
    <row r="176" ht="13.5" customHeight="1">
      <c r="A176" s="25"/>
      <c r="B176" s="2"/>
      <c r="C176" s="3" t="s">
        <v>414</v>
      </c>
      <c r="D176" s="6">
        <v>1.0</v>
      </c>
      <c r="E176" s="6">
        <v>1.0</v>
      </c>
      <c r="F176" s="6">
        <v>1.0</v>
      </c>
      <c r="G176" s="32">
        <v>3.0</v>
      </c>
      <c r="H176" s="30">
        <v>100.0</v>
      </c>
      <c r="I176" s="21">
        <v>1.0</v>
      </c>
      <c r="J176" s="33">
        <v>12.0</v>
      </c>
      <c r="K176" s="21"/>
      <c r="L176" s="21"/>
      <c r="M176" s="16">
        <f t="shared" si="3"/>
        <v>324</v>
      </c>
      <c r="N176" s="21">
        <f t="shared" si="4"/>
        <v>24</v>
      </c>
    </row>
    <row r="177" ht="13.5" customHeight="1">
      <c r="A177" s="25"/>
      <c r="B177" s="2"/>
      <c r="C177" s="3" t="s">
        <v>415</v>
      </c>
      <c r="D177" s="6">
        <v>1.0</v>
      </c>
      <c r="E177" s="6">
        <v>1.0</v>
      </c>
      <c r="F177" s="6">
        <v>1.0</v>
      </c>
      <c r="G177" s="32">
        <v>3.0</v>
      </c>
      <c r="H177" s="30">
        <v>100.0</v>
      </c>
      <c r="I177" s="21">
        <v>1.0</v>
      </c>
      <c r="J177" s="33">
        <v>12.0</v>
      </c>
      <c r="K177" s="21"/>
      <c r="L177" s="21"/>
      <c r="M177" s="16">
        <f t="shared" si="3"/>
        <v>324</v>
      </c>
      <c r="N177" s="21">
        <f t="shared" si="4"/>
        <v>24</v>
      </c>
    </row>
    <row r="178" ht="13.5" customHeight="1">
      <c r="A178" s="25"/>
      <c r="B178" s="2"/>
      <c r="C178" s="3" t="s">
        <v>416</v>
      </c>
      <c r="D178" s="6">
        <v>1.0</v>
      </c>
      <c r="E178" s="6">
        <v>1.0</v>
      </c>
      <c r="F178" s="6">
        <v>1.0</v>
      </c>
      <c r="G178" s="32">
        <v>3.0</v>
      </c>
      <c r="H178" s="30">
        <v>150.0</v>
      </c>
      <c r="I178" s="21">
        <v>1.0</v>
      </c>
      <c r="J178" s="33">
        <v>10.0</v>
      </c>
      <c r="K178" s="21"/>
      <c r="L178" s="21"/>
      <c r="M178" s="16">
        <f t="shared" si="3"/>
        <v>470</v>
      </c>
      <c r="N178" s="21">
        <f t="shared" si="4"/>
        <v>18</v>
      </c>
    </row>
    <row r="179" ht="13.5" customHeight="1">
      <c r="A179" s="25"/>
      <c r="B179" s="2"/>
      <c r="C179" s="3" t="s">
        <v>417</v>
      </c>
      <c r="D179" s="6">
        <v>1.0</v>
      </c>
      <c r="E179" s="6">
        <v>1.0</v>
      </c>
      <c r="F179" s="6">
        <v>1.0</v>
      </c>
      <c r="G179" s="32">
        <v>3.0</v>
      </c>
      <c r="H179" s="30">
        <v>150.0</v>
      </c>
      <c r="I179" s="21">
        <v>1.0</v>
      </c>
      <c r="J179" s="33">
        <v>10.0</v>
      </c>
      <c r="K179" s="21"/>
      <c r="L179" s="21"/>
      <c r="M179" s="16">
        <f t="shared" si="3"/>
        <v>470</v>
      </c>
      <c r="N179" s="21">
        <f t="shared" si="4"/>
        <v>18</v>
      </c>
    </row>
    <row r="180" ht="13.5" customHeight="1">
      <c r="A180" s="25"/>
      <c r="B180" s="2"/>
      <c r="C180" s="3" t="s">
        <v>418</v>
      </c>
      <c r="D180" s="6">
        <v>1.0</v>
      </c>
      <c r="E180" s="6">
        <v>1.0</v>
      </c>
      <c r="F180" s="6">
        <v>1.0</v>
      </c>
      <c r="G180" s="32">
        <v>3.0</v>
      </c>
      <c r="H180" s="30">
        <v>150.0</v>
      </c>
      <c r="I180" s="21">
        <v>1.0</v>
      </c>
      <c r="J180" s="33">
        <v>10.0</v>
      </c>
      <c r="K180" s="21"/>
      <c r="L180" s="21"/>
      <c r="M180" s="16">
        <f t="shared" si="3"/>
        <v>470</v>
      </c>
      <c r="N180" s="21">
        <f t="shared" si="4"/>
        <v>18</v>
      </c>
    </row>
    <row r="181" ht="13.5" customHeight="1">
      <c r="A181" s="25"/>
      <c r="B181" s="2"/>
      <c r="C181" s="3" t="s">
        <v>419</v>
      </c>
      <c r="D181" s="6">
        <v>1.0</v>
      </c>
      <c r="E181" s="6">
        <v>1.0</v>
      </c>
      <c r="F181" s="6">
        <v>1.0</v>
      </c>
      <c r="G181" s="32">
        <v>3.0</v>
      </c>
      <c r="H181" s="30">
        <v>150.0</v>
      </c>
      <c r="I181" s="21">
        <v>1.0</v>
      </c>
      <c r="J181" s="33">
        <v>8.0</v>
      </c>
      <c r="K181" s="21"/>
      <c r="L181" s="21"/>
      <c r="M181" s="16">
        <f t="shared" si="3"/>
        <v>466</v>
      </c>
      <c r="N181" s="21">
        <f t="shared" si="4"/>
        <v>18</v>
      </c>
    </row>
    <row r="182" ht="13.5" customHeight="1">
      <c r="A182" s="25"/>
      <c r="B182" s="2"/>
      <c r="C182" s="3" t="s">
        <v>420</v>
      </c>
      <c r="D182" s="6">
        <v>1.0</v>
      </c>
      <c r="E182" s="6">
        <v>1.0</v>
      </c>
      <c r="F182" s="6">
        <v>1.0</v>
      </c>
      <c r="G182" s="32">
        <v>3.0</v>
      </c>
      <c r="H182" s="30">
        <v>150.0</v>
      </c>
      <c r="I182" s="21">
        <v>1.0</v>
      </c>
      <c r="J182" s="33">
        <v>8.0</v>
      </c>
      <c r="K182" s="21"/>
      <c r="L182" s="21"/>
      <c r="M182" s="16">
        <f t="shared" si="3"/>
        <v>466</v>
      </c>
      <c r="N182" s="21">
        <f t="shared" si="4"/>
        <v>18</v>
      </c>
    </row>
    <row r="183" ht="13.5" customHeight="1">
      <c r="A183" s="25"/>
      <c r="B183" s="2"/>
      <c r="C183" s="3" t="s">
        <v>421</v>
      </c>
      <c r="D183" s="6">
        <v>1.0</v>
      </c>
      <c r="E183" s="6">
        <v>1.0</v>
      </c>
      <c r="F183" s="6">
        <v>1.0</v>
      </c>
      <c r="G183" s="32">
        <v>3.0</v>
      </c>
      <c r="H183" s="30">
        <v>150.0</v>
      </c>
      <c r="I183" s="21">
        <v>1.0</v>
      </c>
      <c r="J183" s="33">
        <v>8.0</v>
      </c>
      <c r="K183" s="21"/>
      <c r="L183" s="21"/>
      <c r="M183" s="16">
        <f t="shared" si="3"/>
        <v>466</v>
      </c>
      <c r="N183" s="21">
        <f t="shared" si="4"/>
        <v>18</v>
      </c>
    </row>
    <row r="184" ht="13.5" customHeight="1">
      <c r="A184" s="25"/>
      <c r="B184" s="2"/>
      <c r="C184" s="3" t="s">
        <v>422</v>
      </c>
      <c r="D184" s="6">
        <v>1.0</v>
      </c>
      <c r="E184" s="6">
        <v>1.0</v>
      </c>
      <c r="F184" s="6">
        <v>1.0</v>
      </c>
      <c r="G184" s="32">
        <v>3.0</v>
      </c>
      <c r="H184" s="30">
        <v>150.0</v>
      </c>
      <c r="I184" s="21">
        <v>1.0</v>
      </c>
      <c r="J184" s="33">
        <v>6.0</v>
      </c>
      <c r="K184" s="21"/>
      <c r="L184" s="21"/>
      <c r="M184" s="16">
        <f t="shared" si="3"/>
        <v>462</v>
      </c>
      <c r="N184" s="21">
        <f t="shared" si="4"/>
        <v>18</v>
      </c>
    </row>
    <row r="185" ht="13.5" customHeight="1">
      <c r="A185" s="25"/>
      <c r="B185" s="2"/>
      <c r="C185" s="3" t="s">
        <v>423</v>
      </c>
      <c r="D185" s="6">
        <v>1.0</v>
      </c>
      <c r="E185" s="6">
        <v>1.0</v>
      </c>
      <c r="F185" s="6">
        <v>1.0</v>
      </c>
      <c r="G185" s="32">
        <v>3.0</v>
      </c>
      <c r="H185" s="30">
        <v>150.0</v>
      </c>
      <c r="I185" s="21">
        <v>1.0</v>
      </c>
      <c r="J185" s="33">
        <v>6.0</v>
      </c>
      <c r="K185" s="21"/>
      <c r="L185" s="21"/>
      <c r="M185" s="16">
        <f t="shared" si="3"/>
        <v>462</v>
      </c>
      <c r="N185" s="21">
        <f t="shared" si="4"/>
        <v>18</v>
      </c>
    </row>
    <row r="186" ht="13.5" customHeight="1">
      <c r="A186" s="25"/>
      <c r="B186" s="2"/>
      <c r="C186" s="3" t="s">
        <v>424</v>
      </c>
      <c r="D186" s="6">
        <v>1.0</v>
      </c>
      <c r="E186" s="6">
        <v>1.0</v>
      </c>
      <c r="F186" s="6">
        <v>1.0</v>
      </c>
      <c r="G186" s="32">
        <v>3.0</v>
      </c>
      <c r="H186" s="30">
        <v>150.0</v>
      </c>
      <c r="I186" s="21">
        <v>1.0</v>
      </c>
      <c r="J186" s="33">
        <v>6.0</v>
      </c>
      <c r="K186" s="21"/>
      <c r="L186" s="21"/>
      <c r="M186" s="16">
        <f t="shared" si="3"/>
        <v>462</v>
      </c>
      <c r="N186" s="21">
        <f t="shared" si="4"/>
        <v>18</v>
      </c>
    </row>
    <row r="187" ht="13.5" customHeight="1">
      <c r="A187" s="25"/>
      <c r="B187" s="2"/>
      <c r="C187" s="3" t="s">
        <v>425</v>
      </c>
      <c r="D187" s="6">
        <v>1.0</v>
      </c>
      <c r="E187" s="6">
        <v>1.0</v>
      </c>
      <c r="F187" s="6">
        <v>1.0</v>
      </c>
      <c r="G187" s="32">
        <v>3.0</v>
      </c>
      <c r="H187" s="30">
        <v>150.0</v>
      </c>
      <c r="I187" s="21">
        <v>1.0</v>
      </c>
      <c r="J187" s="33">
        <v>6.0</v>
      </c>
      <c r="K187" s="21"/>
      <c r="L187" s="21"/>
      <c r="M187" s="16">
        <f t="shared" si="3"/>
        <v>462</v>
      </c>
      <c r="N187" s="21">
        <f t="shared" si="4"/>
        <v>18</v>
      </c>
    </row>
    <row r="188" ht="13.5" customHeight="1">
      <c r="A188" s="25"/>
      <c r="B188" s="2"/>
      <c r="C188" s="3" t="s">
        <v>426</v>
      </c>
      <c r="D188" s="6">
        <v>1.0</v>
      </c>
      <c r="E188" s="6">
        <v>1.0</v>
      </c>
      <c r="F188" s="6">
        <v>1.0</v>
      </c>
      <c r="G188" s="32">
        <v>3.0</v>
      </c>
      <c r="H188" s="30">
        <v>150.0</v>
      </c>
      <c r="I188" s="21">
        <v>1.0</v>
      </c>
      <c r="J188" s="33">
        <v>6.0</v>
      </c>
      <c r="K188" s="21"/>
      <c r="L188" s="21"/>
      <c r="M188" s="16">
        <f t="shared" si="3"/>
        <v>462</v>
      </c>
      <c r="N188" s="21">
        <f t="shared" si="4"/>
        <v>18</v>
      </c>
    </row>
    <row r="189" ht="13.5" customHeight="1">
      <c r="A189" s="25"/>
      <c r="B189" s="2"/>
      <c r="C189" s="3" t="s">
        <v>427</v>
      </c>
      <c r="D189" s="6">
        <v>1.0</v>
      </c>
      <c r="E189" s="6">
        <v>1.0</v>
      </c>
      <c r="F189" s="6">
        <v>1.0</v>
      </c>
      <c r="G189" s="32">
        <v>3.0</v>
      </c>
      <c r="H189" s="30">
        <v>150.0</v>
      </c>
      <c r="I189" s="21">
        <v>1.0</v>
      </c>
      <c r="J189" s="33">
        <v>6.0</v>
      </c>
      <c r="K189" s="21"/>
      <c r="L189" s="21"/>
      <c r="M189" s="16">
        <f t="shared" si="3"/>
        <v>462</v>
      </c>
      <c r="N189" s="21">
        <f t="shared" si="4"/>
        <v>18</v>
      </c>
    </row>
    <row r="190" ht="13.5" customHeight="1">
      <c r="A190" s="34" t="s">
        <v>535</v>
      </c>
      <c r="B190" s="2"/>
      <c r="D190" s="6"/>
      <c r="E190" s="6"/>
      <c r="F190" s="6"/>
      <c r="H190" s="21"/>
      <c r="I190" s="21"/>
      <c r="J190" s="21"/>
      <c r="K190" s="21"/>
      <c r="L190" s="21"/>
      <c r="M190" s="16" t="str">
        <f t="shared" si="3"/>
        <v/>
      </c>
      <c r="N190" s="21" t="str">
        <f t="shared" si="4"/>
        <v/>
      </c>
    </row>
    <row r="191" ht="13.5" customHeight="1">
      <c r="A191" s="25"/>
      <c r="B191" s="2"/>
      <c r="C191" s="6" t="s">
        <v>540</v>
      </c>
      <c r="D191" s="6">
        <v>1.0</v>
      </c>
      <c r="E191" s="6">
        <v>1.0</v>
      </c>
      <c r="F191" s="6">
        <v>1.0</v>
      </c>
      <c r="G191" s="32">
        <v>1.0</v>
      </c>
      <c r="H191" s="33">
        <v>20.0</v>
      </c>
      <c r="I191" s="21">
        <v>1.0</v>
      </c>
      <c r="J191" s="21"/>
      <c r="K191" s="21"/>
      <c r="L191" s="21"/>
      <c r="M191" s="16">
        <f t="shared" si="3"/>
        <v>20</v>
      </c>
      <c r="N191" s="21">
        <f t="shared" si="4"/>
        <v>83</v>
      </c>
    </row>
    <row r="192" ht="13.5" customHeight="1">
      <c r="A192" s="25"/>
      <c r="B192" s="2"/>
      <c r="C192" s="6" t="s">
        <v>541</v>
      </c>
      <c r="D192" s="6">
        <v>1.0</v>
      </c>
      <c r="E192" s="6">
        <v>1.0</v>
      </c>
      <c r="F192" s="6">
        <v>1.0</v>
      </c>
      <c r="G192" s="32">
        <v>1.0</v>
      </c>
      <c r="H192" s="33">
        <v>20.0</v>
      </c>
      <c r="I192" s="21">
        <v>1.0</v>
      </c>
      <c r="J192" s="21"/>
      <c r="K192" s="21"/>
      <c r="L192" s="21"/>
      <c r="M192" s="16">
        <f t="shared" si="3"/>
        <v>20</v>
      </c>
      <c r="N192" s="21">
        <f t="shared" si="4"/>
        <v>83</v>
      </c>
    </row>
    <row r="193" ht="13.5" customHeight="1">
      <c r="A193" s="25"/>
      <c r="B193" s="2"/>
      <c r="C193" s="6" t="s">
        <v>544</v>
      </c>
      <c r="D193" s="6">
        <v>1.0</v>
      </c>
      <c r="E193" s="6">
        <v>1.0</v>
      </c>
      <c r="F193" s="6">
        <v>1.0</v>
      </c>
      <c r="G193" s="32">
        <v>1.0</v>
      </c>
      <c r="H193" s="33">
        <v>20.0</v>
      </c>
      <c r="I193" s="21">
        <v>1.0</v>
      </c>
      <c r="J193" s="21"/>
      <c r="K193" s="21"/>
      <c r="L193" s="21"/>
      <c r="M193" s="16">
        <f t="shared" si="3"/>
        <v>20</v>
      </c>
      <c r="N193" s="21">
        <f t="shared" si="4"/>
        <v>83</v>
      </c>
    </row>
    <row r="194" ht="13.5" customHeight="1">
      <c r="A194" s="25"/>
      <c r="B194" s="2"/>
      <c r="C194" s="6" t="s">
        <v>545</v>
      </c>
      <c r="D194" s="6">
        <v>1.0</v>
      </c>
      <c r="E194" s="6">
        <v>1.0</v>
      </c>
      <c r="F194" s="6">
        <v>1.0</v>
      </c>
      <c r="G194" s="32">
        <v>1.0</v>
      </c>
      <c r="H194" s="33">
        <v>20.0</v>
      </c>
      <c r="I194" s="21">
        <v>1.0</v>
      </c>
      <c r="J194" s="21"/>
      <c r="K194" s="21"/>
      <c r="L194" s="21"/>
      <c r="M194" s="16">
        <f t="shared" si="3"/>
        <v>20</v>
      </c>
      <c r="N194" s="21">
        <f t="shared" si="4"/>
        <v>83</v>
      </c>
    </row>
    <row r="195" ht="13.5" customHeight="1">
      <c r="A195" s="25"/>
      <c r="B195" s="2"/>
      <c r="C195" s="6" t="s">
        <v>548</v>
      </c>
      <c r="D195" s="6">
        <v>1.0</v>
      </c>
      <c r="E195" s="6">
        <v>1.0</v>
      </c>
      <c r="F195" s="6">
        <v>1.0</v>
      </c>
      <c r="G195" s="32">
        <v>1.0</v>
      </c>
      <c r="H195" s="33">
        <v>20.0</v>
      </c>
      <c r="I195" s="21">
        <v>1.0</v>
      </c>
      <c r="J195" s="21"/>
      <c r="K195" s="21"/>
      <c r="L195" s="21"/>
      <c r="M195" s="16">
        <f t="shared" si="3"/>
        <v>20</v>
      </c>
      <c r="N195" s="21">
        <f t="shared" si="4"/>
        <v>83</v>
      </c>
    </row>
    <row r="196" ht="13.5" customHeight="1">
      <c r="A196" s="25"/>
      <c r="B196" s="2"/>
      <c r="C196" s="6" t="s">
        <v>549</v>
      </c>
      <c r="D196" s="6">
        <v>1.0</v>
      </c>
      <c r="E196" s="6">
        <v>1.0</v>
      </c>
      <c r="F196" s="6">
        <v>1.0</v>
      </c>
      <c r="G196" s="32">
        <v>1.0</v>
      </c>
      <c r="H196" s="33">
        <v>20.0</v>
      </c>
      <c r="I196" s="21">
        <v>1.0</v>
      </c>
      <c r="J196" s="21"/>
      <c r="K196" s="21"/>
      <c r="L196" s="21"/>
      <c r="M196" s="16">
        <f t="shared" si="3"/>
        <v>20</v>
      </c>
      <c r="N196" s="21">
        <f t="shared" si="4"/>
        <v>83</v>
      </c>
    </row>
    <row r="197" ht="13.5" customHeight="1">
      <c r="A197" s="25"/>
      <c r="B197" s="2"/>
      <c r="C197" s="6" t="s">
        <v>552</v>
      </c>
      <c r="D197" s="6">
        <v>1.0</v>
      </c>
      <c r="E197" s="6">
        <v>1.0</v>
      </c>
      <c r="F197" s="6">
        <v>1.0</v>
      </c>
      <c r="G197" s="32">
        <v>1.0</v>
      </c>
      <c r="H197" s="33">
        <v>30.0</v>
      </c>
      <c r="I197" s="21">
        <v>1.0</v>
      </c>
      <c r="J197" s="21"/>
      <c r="K197" s="21"/>
      <c r="L197" s="21"/>
      <c r="M197" s="16">
        <f t="shared" si="3"/>
        <v>30</v>
      </c>
      <c r="N197" s="21">
        <f t="shared" si="4"/>
        <v>77</v>
      </c>
    </row>
    <row r="198" ht="13.5" customHeight="1">
      <c r="A198" s="25"/>
      <c r="B198" s="2"/>
      <c r="C198" s="6" t="s">
        <v>556</v>
      </c>
      <c r="D198" s="6">
        <v>1.0</v>
      </c>
      <c r="E198" s="6">
        <v>1.0</v>
      </c>
      <c r="F198" s="6">
        <v>1.0</v>
      </c>
      <c r="G198" s="32">
        <v>1.0</v>
      </c>
      <c r="H198" s="33">
        <v>30.0</v>
      </c>
      <c r="I198" s="21">
        <v>1.0</v>
      </c>
      <c r="J198" s="21"/>
      <c r="K198" s="21"/>
      <c r="L198" s="21"/>
      <c r="M198" s="16">
        <f t="shared" si="3"/>
        <v>30</v>
      </c>
      <c r="N198" s="21">
        <f t="shared" si="4"/>
        <v>77</v>
      </c>
    </row>
    <row r="199" ht="13.5" customHeight="1">
      <c r="A199" s="25"/>
      <c r="B199" s="2"/>
      <c r="C199" s="6" t="s">
        <v>557</v>
      </c>
      <c r="D199" s="6">
        <v>1.0</v>
      </c>
      <c r="E199" s="6">
        <v>1.0</v>
      </c>
      <c r="F199" s="6">
        <v>1.0</v>
      </c>
      <c r="G199" s="32">
        <v>1.0</v>
      </c>
      <c r="H199" s="33">
        <v>30.0</v>
      </c>
      <c r="I199" s="21">
        <v>1.0</v>
      </c>
      <c r="J199" s="21"/>
      <c r="K199" s="21"/>
      <c r="L199" s="21"/>
      <c r="M199" s="16">
        <f t="shared" si="3"/>
        <v>30</v>
      </c>
      <c r="N199" s="21">
        <f t="shared" si="4"/>
        <v>77</v>
      </c>
    </row>
    <row r="200" ht="13.5" customHeight="1">
      <c r="A200" s="25"/>
      <c r="B200" s="2"/>
      <c r="C200" s="6" t="s">
        <v>559</v>
      </c>
      <c r="D200" s="6">
        <v>1.0</v>
      </c>
      <c r="E200" s="6">
        <v>1.0</v>
      </c>
      <c r="F200" s="6">
        <v>1.0</v>
      </c>
      <c r="G200" s="32">
        <v>1.0</v>
      </c>
      <c r="H200" s="33">
        <v>20.0</v>
      </c>
      <c r="I200" s="21">
        <v>1.0</v>
      </c>
      <c r="J200" s="21"/>
      <c r="K200" s="21"/>
      <c r="L200" s="21"/>
      <c r="M200" s="16">
        <f t="shared" si="3"/>
        <v>20</v>
      </c>
      <c r="N200" s="21">
        <f t="shared" si="4"/>
        <v>83</v>
      </c>
    </row>
    <row r="201" ht="13.5" customHeight="1">
      <c r="A201" s="25"/>
      <c r="B201" s="2"/>
      <c r="C201" s="6" t="s">
        <v>561</v>
      </c>
      <c r="D201" s="6">
        <v>1.0</v>
      </c>
      <c r="E201" s="6">
        <v>1.0</v>
      </c>
      <c r="F201" s="6">
        <v>1.0</v>
      </c>
      <c r="G201" s="32">
        <v>1.0</v>
      </c>
      <c r="H201" s="33">
        <v>20.0</v>
      </c>
      <c r="I201" s="21">
        <v>1.0</v>
      </c>
      <c r="J201" s="21"/>
      <c r="K201" s="21"/>
      <c r="L201" s="21"/>
      <c r="M201" s="16">
        <f t="shared" si="3"/>
        <v>20</v>
      </c>
      <c r="N201" s="21">
        <f t="shared" si="4"/>
        <v>83</v>
      </c>
    </row>
    <row r="202" ht="13.5" customHeight="1">
      <c r="A202" s="25"/>
      <c r="B202" s="2"/>
      <c r="C202" s="6" t="s">
        <v>562</v>
      </c>
      <c r="D202" s="6">
        <v>1.0</v>
      </c>
      <c r="E202" s="6">
        <v>1.0</v>
      </c>
      <c r="F202" s="6">
        <v>1.0</v>
      </c>
      <c r="G202" s="32">
        <v>1.0</v>
      </c>
      <c r="H202" s="33">
        <v>20.0</v>
      </c>
      <c r="I202" s="21">
        <v>1.0</v>
      </c>
      <c r="J202" s="21"/>
      <c r="K202" s="21"/>
      <c r="L202" s="21"/>
      <c r="M202" s="16">
        <f t="shared" si="3"/>
        <v>20</v>
      </c>
      <c r="N202" s="21">
        <f t="shared" si="4"/>
        <v>83</v>
      </c>
    </row>
    <row r="203" ht="13.5" customHeight="1">
      <c r="A203" s="25"/>
      <c r="B203" s="2"/>
      <c r="C203" s="6" t="s">
        <v>564</v>
      </c>
      <c r="D203" s="6">
        <v>1.0</v>
      </c>
      <c r="E203" s="6">
        <v>1.0</v>
      </c>
      <c r="F203" s="6">
        <v>1.0</v>
      </c>
      <c r="G203" s="32">
        <v>1.0</v>
      </c>
      <c r="H203" s="33">
        <v>20.0</v>
      </c>
      <c r="I203" s="21">
        <v>1.0</v>
      </c>
      <c r="J203" s="21"/>
      <c r="K203" s="21"/>
      <c r="L203" s="21"/>
      <c r="M203" s="16">
        <f t="shared" si="3"/>
        <v>20</v>
      </c>
      <c r="N203" s="21">
        <f t="shared" si="4"/>
        <v>83</v>
      </c>
    </row>
    <row r="204" ht="13.5" customHeight="1">
      <c r="A204" s="25"/>
      <c r="B204" s="2"/>
      <c r="C204" s="3" t="s">
        <v>442</v>
      </c>
      <c r="D204" s="6">
        <v>1.0</v>
      </c>
      <c r="E204" s="6">
        <v>1.0</v>
      </c>
      <c r="F204" s="6">
        <v>1.0</v>
      </c>
      <c r="G204" s="32">
        <v>1.0</v>
      </c>
      <c r="H204" s="33">
        <v>20.0</v>
      </c>
      <c r="I204" s="21">
        <v>1.0</v>
      </c>
      <c r="J204" s="21"/>
      <c r="K204" s="21"/>
      <c r="L204" s="21"/>
      <c r="M204" s="16">
        <f t="shared" si="3"/>
        <v>20</v>
      </c>
      <c r="N204" s="21">
        <f t="shared" si="4"/>
        <v>83</v>
      </c>
    </row>
    <row r="205" ht="13.5" customHeight="1">
      <c r="A205" s="25"/>
      <c r="B205" s="2"/>
      <c r="C205" s="3" t="s">
        <v>443</v>
      </c>
      <c r="D205" s="6">
        <v>1.0</v>
      </c>
      <c r="E205" s="6">
        <v>1.0</v>
      </c>
      <c r="F205" s="6">
        <v>1.0</v>
      </c>
      <c r="G205" s="32">
        <v>1.0</v>
      </c>
      <c r="H205" s="33">
        <v>20.0</v>
      </c>
      <c r="I205" s="21">
        <v>1.0</v>
      </c>
      <c r="J205" s="21"/>
      <c r="K205" s="21"/>
      <c r="L205" s="21"/>
      <c r="M205" s="16">
        <f t="shared" si="3"/>
        <v>20</v>
      </c>
      <c r="N205" s="21">
        <f t="shared" si="4"/>
        <v>83</v>
      </c>
    </row>
    <row r="206" ht="13.5" customHeight="1">
      <c r="A206" s="25"/>
      <c r="B206" s="2"/>
      <c r="C206" s="3" t="s">
        <v>444</v>
      </c>
      <c r="D206" s="6">
        <v>1.0</v>
      </c>
      <c r="E206" s="6">
        <v>1.0</v>
      </c>
      <c r="F206" s="6">
        <v>1.0</v>
      </c>
      <c r="G206" s="32">
        <v>1.0</v>
      </c>
      <c r="H206" s="33">
        <v>30.0</v>
      </c>
      <c r="I206" s="21">
        <v>1.0</v>
      </c>
      <c r="J206" s="21"/>
      <c r="K206" s="21"/>
      <c r="L206" s="21"/>
      <c r="M206" s="16">
        <f t="shared" si="3"/>
        <v>30</v>
      </c>
      <c r="N206" s="21">
        <f t="shared" si="4"/>
        <v>77</v>
      </c>
    </row>
    <row r="207" ht="13.5" customHeight="1">
      <c r="A207" s="25"/>
      <c r="B207" s="2"/>
      <c r="C207" s="3" t="s">
        <v>569</v>
      </c>
      <c r="D207" s="6">
        <v>1.0</v>
      </c>
      <c r="E207" s="6">
        <v>1.0</v>
      </c>
      <c r="F207" s="6">
        <v>1.0</v>
      </c>
      <c r="G207" s="32">
        <v>1.0</v>
      </c>
      <c r="H207" s="33">
        <v>40.0</v>
      </c>
      <c r="I207" s="21">
        <v>1.0</v>
      </c>
      <c r="J207" s="21"/>
      <c r="K207" s="21"/>
      <c r="L207" s="21"/>
      <c r="M207" s="16">
        <f t="shared" si="3"/>
        <v>40</v>
      </c>
      <c r="N207" s="21">
        <f t="shared" si="4"/>
        <v>71</v>
      </c>
    </row>
    <row r="208" ht="13.5" customHeight="1">
      <c r="A208" s="34" t="s">
        <v>572</v>
      </c>
      <c r="B208" s="2"/>
      <c r="D208" s="6"/>
      <c r="E208" s="6"/>
      <c r="F208" s="6"/>
      <c r="H208" s="21"/>
      <c r="I208" s="21"/>
      <c r="J208" s="21"/>
      <c r="K208" s="21"/>
      <c r="L208" s="21"/>
      <c r="M208" s="16" t="str">
        <f t="shared" si="3"/>
        <v/>
      </c>
      <c r="N208" s="21" t="str">
        <f t="shared" si="4"/>
        <v/>
      </c>
    </row>
    <row r="209" ht="13.5" customHeight="1">
      <c r="A209" s="25"/>
      <c r="B209" s="2"/>
      <c r="C209" s="6" t="s">
        <v>574</v>
      </c>
      <c r="D209" s="6">
        <v>1.0</v>
      </c>
      <c r="E209" s="6">
        <v>1.0</v>
      </c>
      <c r="F209" s="6">
        <v>1.0</v>
      </c>
      <c r="G209" s="6">
        <v>2.0</v>
      </c>
      <c r="H209" s="33">
        <v>40.0</v>
      </c>
      <c r="I209" s="21">
        <v>1.0</v>
      </c>
      <c r="J209" s="21"/>
      <c r="K209" s="21"/>
      <c r="L209" s="21"/>
      <c r="M209" s="16">
        <f t="shared" si="3"/>
        <v>80</v>
      </c>
      <c r="N209" s="21">
        <f t="shared" si="4"/>
        <v>56</v>
      </c>
    </row>
    <row r="210" ht="13.5" customHeight="1">
      <c r="A210" s="25"/>
      <c r="B210" s="2"/>
      <c r="C210" s="6" t="s">
        <v>576</v>
      </c>
      <c r="D210" s="6">
        <v>1.0</v>
      </c>
      <c r="E210" s="6">
        <v>1.0</v>
      </c>
      <c r="F210" s="6">
        <v>1.0</v>
      </c>
      <c r="G210" s="6">
        <v>2.0</v>
      </c>
      <c r="H210" s="33">
        <v>40.0</v>
      </c>
      <c r="I210" s="21">
        <v>1.0</v>
      </c>
      <c r="J210" s="21"/>
      <c r="K210" s="21"/>
      <c r="L210" s="21"/>
      <c r="M210" s="16">
        <f t="shared" si="3"/>
        <v>80</v>
      </c>
      <c r="N210" s="21">
        <f t="shared" si="4"/>
        <v>56</v>
      </c>
    </row>
    <row r="211" ht="13.5" customHeight="1">
      <c r="A211" s="25"/>
      <c r="B211" s="2"/>
      <c r="C211" s="6" t="s">
        <v>579</v>
      </c>
      <c r="D211" s="6">
        <v>1.0</v>
      </c>
      <c r="E211" s="6">
        <v>1.0</v>
      </c>
      <c r="F211" s="6">
        <v>1.0</v>
      </c>
      <c r="G211" s="6">
        <v>2.0</v>
      </c>
      <c r="H211" s="33">
        <v>40.0</v>
      </c>
      <c r="I211" s="21">
        <v>1.0</v>
      </c>
      <c r="J211" s="21"/>
      <c r="K211" s="21"/>
      <c r="L211" s="21"/>
      <c r="M211" s="16">
        <f t="shared" si="3"/>
        <v>80</v>
      </c>
      <c r="N211" s="21">
        <f t="shared" si="4"/>
        <v>56</v>
      </c>
    </row>
    <row r="212" ht="13.5" customHeight="1">
      <c r="A212" s="25"/>
      <c r="B212" s="2"/>
      <c r="C212" s="6" t="s">
        <v>581</v>
      </c>
      <c r="D212" s="6">
        <v>1.0</v>
      </c>
      <c r="E212" s="6">
        <v>1.0</v>
      </c>
      <c r="F212" s="6">
        <v>1.0</v>
      </c>
      <c r="G212" s="6">
        <v>2.0</v>
      </c>
      <c r="H212" s="33">
        <v>40.0</v>
      </c>
      <c r="I212" s="21">
        <v>1.0</v>
      </c>
      <c r="J212" s="21"/>
      <c r="K212" s="21"/>
      <c r="L212" s="21"/>
      <c r="M212" s="16">
        <f t="shared" si="3"/>
        <v>80</v>
      </c>
      <c r="N212" s="21">
        <f t="shared" si="4"/>
        <v>56</v>
      </c>
    </row>
    <row r="213" ht="13.5" customHeight="1">
      <c r="A213" s="25"/>
      <c r="B213" s="2"/>
      <c r="C213" s="6" t="s">
        <v>584</v>
      </c>
      <c r="D213" s="6">
        <v>1.0</v>
      </c>
      <c r="E213" s="6">
        <v>1.0</v>
      </c>
      <c r="F213" s="6">
        <v>1.0</v>
      </c>
      <c r="G213" s="6">
        <v>2.0</v>
      </c>
      <c r="H213" s="33">
        <v>40.0</v>
      </c>
      <c r="I213" s="21">
        <v>1.0</v>
      </c>
      <c r="J213" s="21"/>
      <c r="K213" s="21"/>
      <c r="L213" s="21"/>
      <c r="M213" s="16">
        <f t="shared" si="3"/>
        <v>80</v>
      </c>
      <c r="N213" s="21">
        <f t="shared" si="4"/>
        <v>56</v>
      </c>
    </row>
    <row r="214" ht="13.5" customHeight="1">
      <c r="A214" s="25"/>
      <c r="B214" s="2"/>
      <c r="C214" s="6" t="s">
        <v>586</v>
      </c>
      <c r="D214" s="6">
        <v>1.0</v>
      </c>
      <c r="E214" s="6">
        <v>1.0</v>
      </c>
      <c r="F214" s="6">
        <v>1.0</v>
      </c>
      <c r="G214" s="6">
        <v>2.0</v>
      </c>
      <c r="H214" s="33">
        <v>40.0</v>
      </c>
      <c r="I214" s="21">
        <v>1.0</v>
      </c>
      <c r="J214" s="21"/>
      <c r="K214" s="21"/>
      <c r="L214" s="21"/>
      <c r="M214" s="16">
        <f t="shared" si="3"/>
        <v>80</v>
      </c>
      <c r="N214" s="21">
        <f t="shared" si="4"/>
        <v>56</v>
      </c>
    </row>
    <row r="215" ht="13.5" customHeight="1">
      <c r="A215" s="25"/>
      <c r="B215" s="2"/>
      <c r="C215" s="3" t="s">
        <v>452</v>
      </c>
      <c r="D215" s="6">
        <v>1.0</v>
      </c>
      <c r="E215" s="6">
        <v>1.0</v>
      </c>
      <c r="F215" s="6">
        <v>1.0</v>
      </c>
      <c r="G215" s="6">
        <v>2.0</v>
      </c>
      <c r="H215" s="33">
        <v>40.0</v>
      </c>
      <c r="I215" s="21">
        <v>1.0</v>
      </c>
      <c r="J215" s="21"/>
      <c r="K215" s="21"/>
      <c r="L215" s="21"/>
      <c r="M215" s="16">
        <f t="shared" si="3"/>
        <v>80</v>
      </c>
      <c r="N215" s="21">
        <f t="shared" si="4"/>
        <v>56</v>
      </c>
    </row>
    <row r="216" ht="13.5" customHeight="1">
      <c r="A216" s="25"/>
      <c r="B216" s="2"/>
      <c r="C216" s="6" t="s">
        <v>588</v>
      </c>
      <c r="D216" s="6">
        <v>1.0</v>
      </c>
      <c r="E216" s="6">
        <v>1.0</v>
      </c>
      <c r="F216" s="6">
        <v>1.0</v>
      </c>
      <c r="G216" s="6">
        <v>2.0</v>
      </c>
      <c r="H216" s="33">
        <v>40.0</v>
      </c>
      <c r="I216" s="21">
        <v>1.0</v>
      </c>
      <c r="J216" s="21"/>
      <c r="K216" s="21"/>
      <c r="L216" s="21"/>
      <c r="M216" s="16">
        <f t="shared" si="3"/>
        <v>80</v>
      </c>
      <c r="N216" s="21">
        <f t="shared" si="4"/>
        <v>56</v>
      </c>
    </row>
    <row r="217" ht="13.5" customHeight="1">
      <c r="A217" s="25"/>
      <c r="B217" s="2"/>
      <c r="C217" s="3" t="s">
        <v>454</v>
      </c>
      <c r="D217" s="6">
        <v>1.0</v>
      </c>
      <c r="E217" s="6">
        <v>1.0</v>
      </c>
      <c r="F217" s="6">
        <v>1.0</v>
      </c>
      <c r="G217" s="6">
        <v>2.0</v>
      </c>
      <c r="H217" s="33">
        <v>40.0</v>
      </c>
      <c r="I217" s="21">
        <v>1.0</v>
      </c>
      <c r="J217" s="21"/>
      <c r="K217" s="21"/>
      <c r="L217" s="21"/>
      <c r="M217" s="16">
        <f t="shared" si="3"/>
        <v>80</v>
      </c>
      <c r="N217" s="21">
        <f t="shared" si="4"/>
        <v>56</v>
      </c>
    </row>
    <row r="218" ht="13.5" customHeight="1">
      <c r="A218" s="25"/>
      <c r="B218" s="2"/>
      <c r="C218" s="3" t="s">
        <v>455</v>
      </c>
      <c r="D218" s="6">
        <v>1.0</v>
      </c>
      <c r="E218" s="6">
        <v>1.0</v>
      </c>
      <c r="F218" s="6">
        <v>1.0</v>
      </c>
      <c r="G218" s="6">
        <v>2.0</v>
      </c>
      <c r="H218" s="33">
        <v>40.0</v>
      </c>
      <c r="I218" s="21">
        <v>1.0</v>
      </c>
      <c r="J218" s="21"/>
      <c r="K218" s="21"/>
      <c r="L218" s="21"/>
      <c r="M218" s="16">
        <f t="shared" si="3"/>
        <v>80</v>
      </c>
      <c r="N218" s="21">
        <f t="shared" si="4"/>
        <v>56</v>
      </c>
    </row>
    <row r="219" ht="13.5" customHeight="1">
      <c r="A219" s="25"/>
      <c r="B219" s="2"/>
      <c r="C219" s="3" t="s">
        <v>456</v>
      </c>
      <c r="D219" s="6">
        <v>1.0</v>
      </c>
      <c r="E219" s="6">
        <v>1.0</v>
      </c>
      <c r="F219" s="6">
        <v>1.0</v>
      </c>
      <c r="G219" s="6">
        <v>2.0</v>
      </c>
      <c r="H219" s="33">
        <v>40.0</v>
      </c>
      <c r="I219" s="21">
        <v>1.0</v>
      </c>
      <c r="J219" s="21"/>
      <c r="K219" s="21"/>
      <c r="L219" s="21"/>
      <c r="M219" s="16">
        <f t="shared" si="3"/>
        <v>80</v>
      </c>
      <c r="N219" s="21">
        <f t="shared" si="4"/>
        <v>56</v>
      </c>
    </row>
    <row r="220" ht="13.5" customHeight="1">
      <c r="A220" s="25"/>
      <c r="B220" s="2"/>
      <c r="C220" s="6" t="s">
        <v>594</v>
      </c>
      <c r="D220" s="6">
        <v>1.0</v>
      </c>
      <c r="E220" s="6">
        <v>1.0</v>
      </c>
      <c r="F220" s="6">
        <v>1.0</v>
      </c>
      <c r="G220" s="6">
        <v>2.0</v>
      </c>
      <c r="H220" s="33">
        <v>40.0</v>
      </c>
      <c r="I220" s="21">
        <v>1.0</v>
      </c>
      <c r="J220" s="21"/>
      <c r="K220" s="21"/>
      <c r="L220" s="21"/>
      <c r="M220" s="16">
        <f t="shared" si="3"/>
        <v>80</v>
      </c>
      <c r="N220" s="21">
        <f t="shared" si="4"/>
        <v>56</v>
      </c>
    </row>
    <row r="221" ht="13.5" customHeight="1">
      <c r="A221" s="25"/>
      <c r="B221" s="2"/>
      <c r="C221" s="6" t="s">
        <v>596</v>
      </c>
      <c r="D221" s="6">
        <v>1.0</v>
      </c>
      <c r="E221" s="6">
        <v>1.0</v>
      </c>
      <c r="F221" s="6">
        <v>1.0</v>
      </c>
      <c r="G221" s="6">
        <v>2.0</v>
      </c>
      <c r="H221" s="33">
        <v>40.0</v>
      </c>
      <c r="I221" s="21">
        <v>1.0</v>
      </c>
      <c r="J221" s="21"/>
      <c r="K221" s="21"/>
      <c r="L221" s="21"/>
      <c r="M221" s="16">
        <f t="shared" si="3"/>
        <v>80</v>
      </c>
      <c r="N221" s="21">
        <f t="shared" si="4"/>
        <v>56</v>
      </c>
    </row>
    <row r="222" ht="13.5" customHeight="1">
      <c r="A222" s="25"/>
      <c r="B222" s="2"/>
      <c r="C222" s="6" t="s">
        <v>597</v>
      </c>
      <c r="D222" s="6">
        <v>1.0</v>
      </c>
      <c r="E222" s="6">
        <v>1.0</v>
      </c>
      <c r="F222" s="6">
        <v>1.0</v>
      </c>
      <c r="G222" s="6">
        <v>2.0</v>
      </c>
      <c r="H222" s="33">
        <v>40.0</v>
      </c>
      <c r="I222" s="21">
        <v>1.0</v>
      </c>
      <c r="J222" s="21"/>
      <c r="K222" s="21"/>
      <c r="L222" s="21"/>
      <c r="M222" s="16">
        <f t="shared" si="3"/>
        <v>80</v>
      </c>
      <c r="N222" s="21">
        <f t="shared" si="4"/>
        <v>56</v>
      </c>
    </row>
    <row r="223" ht="13.5" customHeight="1">
      <c r="A223" s="25"/>
      <c r="B223" s="2"/>
      <c r="C223" s="6" t="s">
        <v>598</v>
      </c>
      <c r="D223" s="6">
        <v>1.0</v>
      </c>
      <c r="E223" s="6">
        <v>1.0</v>
      </c>
      <c r="F223" s="6">
        <v>1.0</v>
      </c>
      <c r="G223" s="6">
        <v>3.0</v>
      </c>
      <c r="H223" s="33">
        <v>40.0</v>
      </c>
      <c r="I223" s="21">
        <v>1.0</v>
      </c>
      <c r="J223" s="21"/>
      <c r="K223" s="21"/>
      <c r="L223" s="21"/>
      <c r="M223" s="16">
        <f t="shared" si="3"/>
        <v>120</v>
      </c>
      <c r="N223" s="21">
        <f t="shared" si="4"/>
        <v>45</v>
      </c>
    </row>
    <row r="224" ht="13.5" customHeight="1">
      <c r="A224" s="25"/>
      <c r="B224" s="2"/>
      <c r="C224" s="6" t="s">
        <v>601</v>
      </c>
      <c r="D224" s="6">
        <v>1.0</v>
      </c>
      <c r="E224" s="6">
        <v>1.0</v>
      </c>
      <c r="F224" s="6">
        <v>1.0</v>
      </c>
      <c r="G224" s="6">
        <v>3.0</v>
      </c>
      <c r="H224" s="33">
        <v>40.0</v>
      </c>
      <c r="I224" s="21">
        <v>1.0</v>
      </c>
      <c r="J224" s="21"/>
      <c r="K224" s="21"/>
      <c r="L224" s="21"/>
      <c r="M224" s="16">
        <f t="shared" si="3"/>
        <v>120</v>
      </c>
      <c r="N224" s="21">
        <f t="shared" si="4"/>
        <v>45</v>
      </c>
    </row>
    <row r="225" ht="13.5" customHeight="1">
      <c r="A225" s="25"/>
      <c r="B225" s="2"/>
      <c r="C225" s="6" t="s">
        <v>603</v>
      </c>
      <c r="D225" s="6">
        <v>1.0</v>
      </c>
      <c r="E225" s="6">
        <v>1.0</v>
      </c>
      <c r="F225" s="6">
        <v>1.0</v>
      </c>
      <c r="G225" s="6">
        <v>3.0</v>
      </c>
      <c r="H225" s="33">
        <v>40.0</v>
      </c>
      <c r="I225" s="21">
        <v>1.0</v>
      </c>
      <c r="J225" s="21"/>
      <c r="K225" s="21"/>
      <c r="L225" s="21"/>
      <c r="M225" s="16">
        <f t="shared" si="3"/>
        <v>120</v>
      </c>
      <c r="N225" s="21">
        <f t="shared" si="4"/>
        <v>45</v>
      </c>
    </row>
    <row r="226" ht="13.5" customHeight="1">
      <c r="A226" s="25"/>
      <c r="B226" s="2"/>
      <c r="C226" s="6" t="s">
        <v>606</v>
      </c>
      <c r="D226" s="6">
        <v>1.0</v>
      </c>
      <c r="E226" s="6">
        <v>1.0</v>
      </c>
      <c r="F226" s="6">
        <v>1.0</v>
      </c>
      <c r="G226" s="6">
        <v>2.0</v>
      </c>
      <c r="H226" s="33">
        <v>40.0</v>
      </c>
      <c r="I226" s="21">
        <v>1.0</v>
      </c>
      <c r="J226" s="21"/>
      <c r="K226" s="21"/>
      <c r="L226" s="21"/>
      <c r="M226" s="16">
        <f t="shared" si="3"/>
        <v>80</v>
      </c>
      <c r="N226" s="21">
        <f t="shared" si="4"/>
        <v>56</v>
      </c>
    </row>
    <row r="227" ht="13.5" customHeight="1">
      <c r="A227" s="25"/>
      <c r="B227" s="2"/>
      <c r="C227" s="3" t="s">
        <v>464</v>
      </c>
      <c r="D227" s="6">
        <v>1.0</v>
      </c>
      <c r="E227" s="6">
        <v>1.0</v>
      </c>
      <c r="F227" s="6">
        <v>1.0</v>
      </c>
      <c r="G227" s="6">
        <v>2.0</v>
      </c>
      <c r="H227" s="33">
        <v>40.0</v>
      </c>
      <c r="I227" s="21">
        <v>1.0</v>
      </c>
      <c r="J227" s="21"/>
      <c r="K227" s="21"/>
      <c r="L227" s="21"/>
      <c r="M227" s="16">
        <f t="shared" si="3"/>
        <v>80</v>
      </c>
      <c r="N227" s="21">
        <f t="shared" si="4"/>
        <v>56</v>
      </c>
    </row>
    <row r="228" ht="13.5" customHeight="1">
      <c r="A228" s="25"/>
      <c r="B228" s="2"/>
      <c r="C228" s="6" t="s">
        <v>609</v>
      </c>
      <c r="D228" s="6">
        <v>1.0</v>
      </c>
      <c r="E228" s="6">
        <v>1.0</v>
      </c>
      <c r="F228" s="6">
        <v>1.0</v>
      </c>
      <c r="G228" s="6">
        <v>3.0</v>
      </c>
      <c r="H228" s="33">
        <v>80.0</v>
      </c>
      <c r="I228" s="21">
        <v>1.0</v>
      </c>
      <c r="J228" s="21"/>
      <c r="K228" s="21"/>
      <c r="L228" s="21"/>
      <c r="M228" s="16">
        <f t="shared" si="3"/>
        <v>240</v>
      </c>
      <c r="N228" s="21">
        <f t="shared" si="4"/>
        <v>29</v>
      </c>
    </row>
    <row r="229" ht="13.5" customHeight="1">
      <c r="A229" s="34" t="s">
        <v>611</v>
      </c>
      <c r="B229" s="2"/>
      <c r="D229" s="6"/>
      <c r="E229" s="6"/>
      <c r="F229" s="6"/>
      <c r="H229" s="21"/>
      <c r="I229" s="21">
        <v>1.0</v>
      </c>
      <c r="J229" s="21"/>
      <c r="K229" s="21"/>
      <c r="L229" s="21"/>
      <c r="M229" s="16" t="str">
        <f t="shared" si="3"/>
        <v/>
      </c>
      <c r="N229" s="21" t="str">
        <f t="shared" si="4"/>
        <v/>
      </c>
    </row>
    <row r="230" ht="13.5" customHeight="1">
      <c r="A230" s="25"/>
      <c r="B230" s="2"/>
      <c r="C230" s="3" t="s">
        <v>467</v>
      </c>
      <c r="D230" s="6">
        <v>1.0</v>
      </c>
      <c r="E230" s="6">
        <v>1.0</v>
      </c>
      <c r="F230" s="6">
        <v>1.0</v>
      </c>
      <c r="G230" s="6">
        <v>2.0</v>
      </c>
      <c r="H230" s="33">
        <v>30.0</v>
      </c>
      <c r="I230" s="21">
        <v>1.0</v>
      </c>
      <c r="J230" s="21"/>
      <c r="K230" s="21"/>
      <c r="L230" s="21"/>
      <c r="M230" s="16">
        <f t="shared" si="3"/>
        <v>60</v>
      </c>
      <c r="N230" s="21">
        <f t="shared" si="4"/>
        <v>63</v>
      </c>
    </row>
    <row r="231" ht="13.5" customHeight="1">
      <c r="A231" s="25"/>
      <c r="B231" s="2"/>
      <c r="C231" s="3" t="s">
        <v>468</v>
      </c>
      <c r="D231" s="6">
        <v>1.0</v>
      </c>
      <c r="E231" s="6">
        <v>1.0</v>
      </c>
      <c r="F231" s="6">
        <v>1.0</v>
      </c>
      <c r="G231" s="6">
        <v>2.0</v>
      </c>
      <c r="H231" s="33">
        <v>30.0</v>
      </c>
      <c r="I231" s="21">
        <v>1.0</v>
      </c>
      <c r="J231" s="21"/>
      <c r="K231" s="21"/>
      <c r="L231" s="21"/>
      <c r="M231" s="16">
        <f t="shared" si="3"/>
        <v>60</v>
      </c>
      <c r="N231" s="21">
        <f t="shared" si="4"/>
        <v>63</v>
      </c>
    </row>
    <row r="232" ht="13.5" customHeight="1">
      <c r="A232" s="25"/>
      <c r="B232" s="2"/>
      <c r="C232" s="3" t="s">
        <v>469</v>
      </c>
      <c r="D232" s="6">
        <v>1.0</v>
      </c>
      <c r="E232" s="6">
        <v>1.0</v>
      </c>
      <c r="F232" s="6">
        <v>1.0</v>
      </c>
      <c r="G232" s="6">
        <v>2.0</v>
      </c>
      <c r="H232" s="33">
        <v>30.0</v>
      </c>
      <c r="I232" s="21">
        <v>1.0</v>
      </c>
      <c r="J232" s="21"/>
      <c r="K232" s="21"/>
      <c r="L232" s="21"/>
      <c r="M232" s="16">
        <f t="shared" si="3"/>
        <v>60</v>
      </c>
      <c r="N232" s="21">
        <f t="shared" si="4"/>
        <v>63</v>
      </c>
    </row>
    <row r="233" ht="13.5" customHeight="1">
      <c r="A233" s="25"/>
      <c r="B233" s="2"/>
      <c r="C233" s="3" t="s">
        <v>470</v>
      </c>
      <c r="D233" s="6">
        <v>1.0</v>
      </c>
      <c r="E233" s="6">
        <v>1.0</v>
      </c>
      <c r="F233" s="6">
        <v>1.0</v>
      </c>
      <c r="G233" s="6">
        <v>2.0</v>
      </c>
      <c r="H233" s="33">
        <v>30.0</v>
      </c>
      <c r="I233" s="21">
        <v>1.0</v>
      </c>
      <c r="J233" s="21"/>
      <c r="K233" s="21"/>
      <c r="L233" s="21"/>
      <c r="M233" s="16">
        <f t="shared" si="3"/>
        <v>60</v>
      </c>
      <c r="N233" s="21">
        <f t="shared" si="4"/>
        <v>63</v>
      </c>
    </row>
    <row r="234" ht="13.5" customHeight="1">
      <c r="A234" s="25"/>
      <c r="B234" s="2"/>
      <c r="C234" s="3" t="s">
        <v>471</v>
      </c>
      <c r="D234" s="6">
        <v>1.0</v>
      </c>
      <c r="E234" s="6">
        <v>1.0</v>
      </c>
      <c r="F234" s="6">
        <v>1.0</v>
      </c>
      <c r="G234" s="6">
        <v>2.0</v>
      </c>
      <c r="H234" s="33">
        <v>50.0</v>
      </c>
      <c r="I234" s="21">
        <v>1.0</v>
      </c>
      <c r="J234" s="21"/>
      <c r="K234" s="21"/>
      <c r="L234" s="21"/>
      <c r="M234" s="16">
        <f t="shared" si="3"/>
        <v>100</v>
      </c>
      <c r="N234" s="21">
        <f t="shared" si="4"/>
        <v>50</v>
      </c>
    </row>
    <row r="235" ht="13.5" customHeight="1">
      <c r="A235" s="25"/>
      <c r="B235" s="2"/>
      <c r="C235" s="3" t="s">
        <v>472</v>
      </c>
      <c r="D235" s="6">
        <v>1.0</v>
      </c>
      <c r="E235" s="6">
        <v>1.0</v>
      </c>
      <c r="F235" s="6">
        <v>1.0</v>
      </c>
      <c r="G235" s="6">
        <v>2.0</v>
      </c>
      <c r="H235" s="33">
        <v>30.0</v>
      </c>
      <c r="I235" s="21">
        <v>1.0</v>
      </c>
      <c r="J235" s="21"/>
      <c r="K235" s="21"/>
      <c r="L235" s="21"/>
      <c r="M235" s="16">
        <f t="shared" si="3"/>
        <v>60</v>
      </c>
      <c r="N235" s="21">
        <f t="shared" si="4"/>
        <v>63</v>
      </c>
    </row>
    <row r="236" ht="13.5" customHeight="1">
      <c r="A236" s="25"/>
      <c r="B236" s="2"/>
      <c r="C236" s="3" t="s">
        <v>473</v>
      </c>
      <c r="D236" s="6">
        <v>1.0</v>
      </c>
      <c r="E236" s="6">
        <v>1.0</v>
      </c>
      <c r="F236" s="6">
        <v>1.0</v>
      </c>
      <c r="G236" s="6">
        <v>2.0</v>
      </c>
      <c r="H236" s="33">
        <v>50.0</v>
      </c>
      <c r="I236" s="21">
        <v>1.0</v>
      </c>
      <c r="J236" s="21"/>
      <c r="K236" s="21"/>
      <c r="L236" s="21"/>
      <c r="M236" s="16">
        <f t="shared" si="3"/>
        <v>100</v>
      </c>
      <c r="N236" s="21">
        <f t="shared" si="4"/>
        <v>50</v>
      </c>
    </row>
    <row r="237" ht="13.5" customHeight="1">
      <c r="A237" s="25"/>
      <c r="B237" s="2"/>
      <c r="C237" s="3" t="s">
        <v>474</v>
      </c>
      <c r="D237" s="6">
        <v>1.0</v>
      </c>
      <c r="E237" s="6">
        <v>1.0</v>
      </c>
      <c r="F237" s="6">
        <v>1.0</v>
      </c>
      <c r="G237" s="6">
        <v>2.0</v>
      </c>
      <c r="H237" s="33">
        <v>30.0</v>
      </c>
      <c r="I237" s="21">
        <v>1.0</v>
      </c>
      <c r="J237" s="21"/>
      <c r="K237" s="21"/>
      <c r="L237" s="21"/>
      <c r="M237" s="16">
        <f t="shared" si="3"/>
        <v>60</v>
      </c>
      <c r="N237" s="21">
        <f t="shared" si="4"/>
        <v>63</v>
      </c>
    </row>
    <row r="238" ht="13.5" customHeight="1">
      <c r="A238" s="25"/>
      <c r="B238" s="2"/>
      <c r="C238" s="3" t="s">
        <v>475</v>
      </c>
      <c r="D238" s="6">
        <v>1.0</v>
      </c>
      <c r="E238" s="6">
        <v>1.0</v>
      </c>
      <c r="F238" s="6">
        <v>1.0</v>
      </c>
      <c r="G238" s="6">
        <v>2.0</v>
      </c>
      <c r="H238" s="33">
        <v>30.0</v>
      </c>
      <c r="I238" s="21">
        <v>1.0</v>
      </c>
      <c r="J238" s="21"/>
      <c r="K238" s="21"/>
      <c r="L238" s="21"/>
      <c r="M238" s="16">
        <f t="shared" si="3"/>
        <v>60</v>
      </c>
      <c r="N238" s="21">
        <f t="shared" si="4"/>
        <v>63</v>
      </c>
    </row>
    <row r="239" ht="13.5" customHeight="1">
      <c r="A239" s="25"/>
      <c r="B239" s="2"/>
      <c r="C239" s="3" t="s">
        <v>476</v>
      </c>
      <c r="D239" s="6">
        <v>1.0</v>
      </c>
      <c r="E239" s="6">
        <v>1.0</v>
      </c>
      <c r="F239" s="6">
        <v>1.0</v>
      </c>
      <c r="G239" s="6">
        <v>2.0</v>
      </c>
      <c r="H239" s="33">
        <v>30.0</v>
      </c>
      <c r="I239" s="21">
        <v>1.0</v>
      </c>
      <c r="J239" s="21"/>
      <c r="K239" s="21"/>
      <c r="L239" s="21"/>
      <c r="M239" s="16">
        <f t="shared" si="3"/>
        <v>60</v>
      </c>
      <c r="N239" s="21">
        <f t="shared" si="4"/>
        <v>63</v>
      </c>
    </row>
    <row r="240" ht="13.5" customHeight="1">
      <c r="A240" s="25"/>
      <c r="B240" s="2"/>
      <c r="C240" s="3" t="s">
        <v>477</v>
      </c>
      <c r="D240" s="6">
        <v>1.0</v>
      </c>
      <c r="E240" s="6">
        <v>1.0</v>
      </c>
      <c r="F240" s="6">
        <v>1.0</v>
      </c>
      <c r="G240" s="6">
        <v>2.0</v>
      </c>
      <c r="H240" s="33">
        <v>30.0</v>
      </c>
      <c r="I240" s="21">
        <v>1.0</v>
      </c>
      <c r="J240" s="21"/>
      <c r="K240" s="21"/>
      <c r="L240" s="21"/>
      <c r="M240" s="16">
        <f t="shared" si="3"/>
        <v>60</v>
      </c>
      <c r="N240" s="21">
        <f t="shared" si="4"/>
        <v>63</v>
      </c>
    </row>
    <row r="241" ht="13.5" customHeight="1">
      <c r="A241" s="25"/>
      <c r="B241" s="2"/>
      <c r="C241" s="3" t="s">
        <v>478</v>
      </c>
      <c r="D241" s="6">
        <v>1.0</v>
      </c>
      <c r="E241" s="6">
        <v>1.0</v>
      </c>
      <c r="F241" s="6">
        <v>1.0</v>
      </c>
      <c r="G241" s="6">
        <v>2.0</v>
      </c>
      <c r="H241" s="33">
        <v>50.0</v>
      </c>
      <c r="I241" s="21">
        <v>1.0</v>
      </c>
      <c r="J241" s="21"/>
      <c r="K241" s="21"/>
      <c r="L241" s="21"/>
      <c r="M241" s="16">
        <f t="shared" si="3"/>
        <v>100</v>
      </c>
      <c r="N241" s="21">
        <f t="shared" si="4"/>
        <v>50</v>
      </c>
    </row>
    <row r="242" ht="13.5" customHeight="1">
      <c r="A242" s="25"/>
      <c r="B242" s="2"/>
      <c r="C242" s="3" t="s">
        <v>479</v>
      </c>
      <c r="D242" s="6">
        <v>1.0</v>
      </c>
      <c r="E242" s="6">
        <v>1.0</v>
      </c>
      <c r="F242" s="6">
        <v>1.0</v>
      </c>
      <c r="G242" s="6">
        <v>2.0</v>
      </c>
      <c r="H242" s="33">
        <v>40.0</v>
      </c>
      <c r="I242" s="21">
        <v>1.0</v>
      </c>
      <c r="J242" s="21"/>
      <c r="K242" s="21"/>
      <c r="L242" s="21"/>
      <c r="M242" s="16">
        <f t="shared" si="3"/>
        <v>80</v>
      </c>
      <c r="N242" s="21">
        <f t="shared" si="4"/>
        <v>56</v>
      </c>
    </row>
    <row r="243" ht="13.5" customHeight="1">
      <c r="A243" s="25"/>
      <c r="B243" s="2"/>
      <c r="C243" s="3" t="s">
        <v>480</v>
      </c>
      <c r="D243" s="6">
        <v>1.0</v>
      </c>
      <c r="E243" s="6">
        <v>1.0</v>
      </c>
      <c r="F243" s="6">
        <v>1.0</v>
      </c>
      <c r="G243" s="6">
        <v>2.0</v>
      </c>
      <c r="H243" s="33">
        <v>40.0</v>
      </c>
      <c r="I243" s="21">
        <v>1.0</v>
      </c>
      <c r="J243" s="21"/>
      <c r="K243" s="21"/>
      <c r="L243" s="21"/>
      <c r="M243" s="16">
        <f t="shared" si="3"/>
        <v>80</v>
      </c>
      <c r="N243" s="21">
        <f t="shared" si="4"/>
        <v>56</v>
      </c>
    </row>
    <row r="244" ht="13.5" customHeight="1">
      <c r="A244" s="25"/>
      <c r="B244" s="2"/>
      <c r="C244" s="3" t="s">
        <v>481</v>
      </c>
      <c r="D244" s="6">
        <v>1.0</v>
      </c>
      <c r="E244" s="6">
        <v>1.0</v>
      </c>
      <c r="F244" s="6">
        <v>1.0</v>
      </c>
      <c r="G244" s="6">
        <v>2.0</v>
      </c>
      <c r="H244" s="33">
        <v>40.0</v>
      </c>
      <c r="I244" s="21">
        <v>1.0</v>
      </c>
      <c r="J244" s="21"/>
      <c r="K244" s="21"/>
      <c r="L244" s="21"/>
      <c r="M244" s="16">
        <f t="shared" si="3"/>
        <v>80</v>
      </c>
      <c r="N244" s="21">
        <f t="shared" si="4"/>
        <v>56</v>
      </c>
    </row>
    <row r="245" ht="13.5" customHeight="1">
      <c r="A245" s="34" t="s">
        <v>624</v>
      </c>
      <c r="B245" s="2"/>
      <c r="D245" s="6"/>
      <c r="E245" s="6"/>
      <c r="F245" s="6"/>
      <c r="H245" s="21"/>
      <c r="I245" s="21"/>
      <c r="J245" s="21"/>
      <c r="K245" s="21"/>
      <c r="L245" s="21"/>
      <c r="M245" s="16" t="str">
        <f t="shared" si="3"/>
        <v/>
      </c>
      <c r="N245" s="21" t="str">
        <f t="shared" si="4"/>
        <v/>
      </c>
    </row>
    <row r="246" ht="13.5" customHeight="1">
      <c r="A246" s="25"/>
      <c r="B246" s="2"/>
      <c r="C246" s="3" t="s">
        <v>483</v>
      </c>
      <c r="D246" s="6">
        <v>1.0</v>
      </c>
      <c r="E246" s="6">
        <v>1.0</v>
      </c>
      <c r="F246" s="6">
        <v>1.0</v>
      </c>
      <c r="G246" s="6">
        <v>3.0</v>
      </c>
      <c r="H246" s="33">
        <v>80.0</v>
      </c>
      <c r="I246" s="21">
        <v>1.0</v>
      </c>
      <c r="J246" s="21"/>
      <c r="K246" s="21"/>
      <c r="L246" s="21"/>
      <c r="M246" s="16">
        <f t="shared" si="3"/>
        <v>240</v>
      </c>
      <c r="N246" s="21">
        <f t="shared" si="4"/>
        <v>29</v>
      </c>
    </row>
    <row r="247" ht="13.5" customHeight="1">
      <c r="A247" s="25"/>
      <c r="B247" s="2"/>
      <c r="C247" s="3" t="s">
        <v>484</v>
      </c>
      <c r="D247" s="6">
        <v>1.0</v>
      </c>
      <c r="E247" s="6">
        <v>1.0</v>
      </c>
      <c r="F247" s="6">
        <v>1.0</v>
      </c>
      <c r="G247" s="6">
        <v>3.0</v>
      </c>
      <c r="H247" s="33">
        <v>80.0</v>
      </c>
      <c r="I247" s="21">
        <v>1.0</v>
      </c>
      <c r="J247" s="21"/>
      <c r="K247" s="21"/>
      <c r="L247" s="21"/>
      <c r="M247" s="16">
        <f t="shared" si="3"/>
        <v>240</v>
      </c>
      <c r="N247" s="21">
        <f t="shared" si="4"/>
        <v>29</v>
      </c>
    </row>
    <row r="248" ht="13.5" customHeight="1">
      <c r="A248" s="25"/>
      <c r="B248" s="2"/>
      <c r="C248" s="3" t="s">
        <v>485</v>
      </c>
      <c r="D248" s="6">
        <v>1.0</v>
      </c>
      <c r="E248" s="6">
        <v>1.0</v>
      </c>
      <c r="F248" s="6">
        <v>1.0</v>
      </c>
      <c r="G248" s="6">
        <v>3.0</v>
      </c>
      <c r="H248" s="33">
        <v>80.0</v>
      </c>
      <c r="I248" s="21">
        <v>1.0</v>
      </c>
      <c r="J248" s="21"/>
      <c r="K248" s="21"/>
      <c r="L248" s="21"/>
      <c r="M248" s="16">
        <f t="shared" si="3"/>
        <v>240</v>
      </c>
      <c r="N248" s="21">
        <f t="shared" si="4"/>
        <v>29</v>
      </c>
    </row>
    <row r="249" ht="13.5" customHeight="1">
      <c r="A249" s="25"/>
      <c r="B249" s="2"/>
      <c r="C249" s="3" t="s">
        <v>486</v>
      </c>
      <c r="D249" s="6">
        <v>1.0</v>
      </c>
      <c r="E249" s="6">
        <v>1.0</v>
      </c>
      <c r="F249" s="6">
        <v>1.0</v>
      </c>
      <c r="G249" s="6">
        <v>3.0</v>
      </c>
      <c r="H249" s="33">
        <v>60.0</v>
      </c>
      <c r="I249" s="21">
        <v>1.0</v>
      </c>
      <c r="J249" s="21"/>
      <c r="K249" s="21"/>
      <c r="L249" s="21"/>
      <c r="M249" s="16">
        <f t="shared" si="3"/>
        <v>180</v>
      </c>
      <c r="N249" s="21">
        <f t="shared" si="4"/>
        <v>36</v>
      </c>
    </row>
    <row r="250" ht="13.5" customHeight="1">
      <c r="A250" s="25"/>
      <c r="B250" s="2"/>
      <c r="C250" s="3" t="s">
        <v>487</v>
      </c>
      <c r="D250" s="6">
        <v>1.0</v>
      </c>
      <c r="E250" s="6">
        <v>1.0</v>
      </c>
      <c r="F250" s="6">
        <v>1.0</v>
      </c>
      <c r="G250" s="6">
        <v>3.0</v>
      </c>
      <c r="H250" s="33">
        <v>80.0</v>
      </c>
      <c r="I250" s="21">
        <v>1.0</v>
      </c>
      <c r="J250" s="21"/>
      <c r="K250" s="21"/>
      <c r="L250" s="21"/>
      <c r="M250" s="16">
        <f t="shared" si="3"/>
        <v>240</v>
      </c>
      <c r="N250" s="21">
        <f t="shared" si="4"/>
        <v>29</v>
      </c>
    </row>
    <row r="251" ht="13.5" customHeight="1">
      <c r="A251" s="25"/>
      <c r="B251" s="2"/>
      <c r="C251" s="3" t="s">
        <v>488</v>
      </c>
      <c r="D251" s="6">
        <v>1.0</v>
      </c>
      <c r="E251" s="6">
        <v>1.0</v>
      </c>
      <c r="F251" s="6">
        <v>1.0</v>
      </c>
      <c r="G251" s="6">
        <v>3.0</v>
      </c>
      <c r="H251" s="33">
        <v>80.0</v>
      </c>
      <c r="I251" s="21">
        <v>1.0</v>
      </c>
      <c r="J251" s="21"/>
      <c r="K251" s="21"/>
      <c r="L251" s="21"/>
      <c r="M251" s="16">
        <f t="shared" si="3"/>
        <v>240</v>
      </c>
      <c r="N251" s="21">
        <f t="shared" si="4"/>
        <v>29</v>
      </c>
    </row>
    <row r="252" ht="13.5" customHeight="1">
      <c r="A252" s="25"/>
      <c r="B252" s="2"/>
      <c r="C252" s="3" t="s">
        <v>489</v>
      </c>
      <c r="D252" s="6">
        <v>1.0</v>
      </c>
      <c r="E252" s="6">
        <v>1.0</v>
      </c>
      <c r="F252" s="6">
        <v>1.0</v>
      </c>
      <c r="G252" s="6">
        <v>3.0</v>
      </c>
      <c r="H252" s="33">
        <v>80.0</v>
      </c>
      <c r="I252" s="21">
        <v>1.0</v>
      </c>
      <c r="J252" s="21"/>
      <c r="K252" s="21"/>
      <c r="L252" s="21"/>
      <c r="M252" s="16">
        <f t="shared" si="3"/>
        <v>240</v>
      </c>
      <c r="N252" s="21">
        <f t="shared" si="4"/>
        <v>29</v>
      </c>
    </row>
    <row r="253" ht="13.5" customHeight="1">
      <c r="A253" s="25"/>
      <c r="B253" s="2"/>
      <c r="C253" s="3" t="s">
        <v>491</v>
      </c>
      <c r="D253" s="6">
        <v>1.0</v>
      </c>
      <c r="E253" s="6">
        <v>1.0</v>
      </c>
      <c r="F253" s="6">
        <v>1.0</v>
      </c>
      <c r="G253" s="6">
        <v>3.0</v>
      </c>
      <c r="H253" s="33">
        <v>60.0</v>
      </c>
      <c r="I253" s="21">
        <v>1.0</v>
      </c>
      <c r="J253" s="21"/>
      <c r="K253" s="21"/>
      <c r="L253" s="21"/>
      <c r="M253" s="16">
        <f t="shared" si="3"/>
        <v>180</v>
      </c>
      <c r="N253" s="21">
        <f t="shared" si="4"/>
        <v>36</v>
      </c>
    </row>
    <row r="254" ht="13.5" customHeight="1">
      <c r="A254" s="25"/>
      <c r="B254" s="2"/>
      <c r="C254" s="3" t="s">
        <v>492</v>
      </c>
      <c r="D254" s="6">
        <v>1.0</v>
      </c>
      <c r="E254" s="6">
        <v>1.0</v>
      </c>
      <c r="F254" s="6">
        <v>1.0</v>
      </c>
      <c r="G254" s="6">
        <v>3.0</v>
      </c>
      <c r="H254" s="33">
        <v>80.0</v>
      </c>
      <c r="I254" s="21">
        <v>1.0</v>
      </c>
      <c r="J254" s="21"/>
      <c r="K254" s="21"/>
      <c r="L254" s="21"/>
      <c r="M254" s="16">
        <f t="shared" si="3"/>
        <v>240</v>
      </c>
      <c r="N254" s="21">
        <f t="shared" si="4"/>
        <v>29</v>
      </c>
    </row>
    <row r="255" ht="13.5" customHeight="1">
      <c r="A255" s="25"/>
      <c r="B255" s="2"/>
      <c r="C255" s="3" t="s">
        <v>493</v>
      </c>
      <c r="D255" s="6">
        <v>1.0</v>
      </c>
      <c r="E255" s="6">
        <v>1.0</v>
      </c>
      <c r="F255" s="6">
        <v>1.0</v>
      </c>
      <c r="G255" s="6">
        <v>3.0</v>
      </c>
      <c r="H255" s="33">
        <v>80.0</v>
      </c>
      <c r="I255" s="21">
        <v>1.0</v>
      </c>
      <c r="J255" s="21"/>
      <c r="K255" s="21"/>
      <c r="L255" s="21"/>
      <c r="M255" s="16">
        <f t="shared" si="3"/>
        <v>240</v>
      </c>
      <c r="N255" s="21">
        <f t="shared" si="4"/>
        <v>29</v>
      </c>
    </row>
    <row r="256" ht="13.5" customHeight="1">
      <c r="A256" s="25"/>
      <c r="B256" s="2"/>
      <c r="C256" s="3" t="s">
        <v>494</v>
      </c>
      <c r="D256" s="6">
        <v>1.0</v>
      </c>
      <c r="E256" s="6">
        <v>1.0</v>
      </c>
      <c r="F256" s="6">
        <v>1.0</v>
      </c>
      <c r="G256" s="6">
        <v>3.0</v>
      </c>
      <c r="H256" s="33">
        <v>80.0</v>
      </c>
      <c r="I256" s="21">
        <v>1.0</v>
      </c>
      <c r="J256" s="21"/>
      <c r="K256" s="21"/>
      <c r="L256" s="21"/>
      <c r="M256" s="16">
        <f t="shared" si="3"/>
        <v>240</v>
      </c>
      <c r="N256" s="21">
        <f t="shared" si="4"/>
        <v>29</v>
      </c>
    </row>
    <row r="257" ht="13.5" customHeight="1">
      <c r="A257" s="25"/>
      <c r="B257" s="2"/>
      <c r="C257" s="3" t="s">
        <v>495</v>
      </c>
      <c r="D257" s="6">
        <v>1.0</v>
      </c>
      <c r="E257" s="6">
        <v>1.0</v>
      </c>
      <c r="F257" s="6">
        <v>1.0</v>
      </c>
      <c r="G257" s="6">
        <v>3.0</v>
      </c>
      <c r="H257" s="33">
        <v>60.0</v>
      </c>
      <c r="I257" s="21">
        <v>1.0</v>
      </c>
      <c r="J257" s="21"/>
      <c r="K257" s="21"/>
      <c r="L257" s="21"/>
      <c r="M257" s="16">
        <f t="shared" si="3"/>
        <v>180</v>
      </c>
      <c r="N257" s="21">
        <f t="shared" si="4"/>
        <v>36</v>
      </c>
    </row>
    <row r="258" ht="13.5" customHeight="1">
      <c r="A258" s="23" t="s">
        <v>635</v>
      </c>
      <c r="B258" s="2"/>
      <c r="D258" s="6"/>
      <c r="E258" s="6"/>
      <c r="F258" s="6"/>
      <c r="H258" s="35"/>
      <c r="I258" s="21"/>
      <c r="J258" s="21"/>
      <c r="K258" s="21"/>
      <c r="L258" s="21"/>
      <c r="M258" s="16" t="str">
        <f t="shared" si="3"/>
        <v/>
      </c>
      <c r="N258" s="21" t="str">
        <f t="shared" si="4"/>
        <v/>
      </c>
    </row>
    <row r="259" ht="13.5" customHeight="1">
      <c r="A259" s="25"/>
      <c r="B259" s="2"/>
      <c r="C259" s="3" t="s">
        <v>497</v>
      </c>
      <c r="D259" s="6">
        <v>1.0</v>
      </c>
      <c r="E259" s="6">
        <v>1.0</v>
      </c>
      <c r="F259" s="6">
        <v>1.0</v>
      </c>
      <c r="G259" s="6">
        <v>4.0</v>
      </c>
      <c r="H259" s="33">
        <v>80.0</v>
      </c>
      <c r="I259" s="21">
        <v>1.0</v>
      </c>
      <c r="J259" s="21"/>
      <c r="K259" s="21"/>
      <c r="L259" s="21"/>
      <c r="M259" s="16">
        <f t="shared" si="3"/>
        <v>320</v>
      </c>
      <c r="N259" s="21">
        <f t="shared" si="4"/>
        <v>24</v>
      </c>
    </row>
    <row r="260" ht="13.5" customHeight="1">
      <c r="A260" s="25"/>
      <c r="B260" s="2"/>
      <c r="C260" s="3" t="s">
        <v>498</v>
      </c>
      <c r="D260" s="6">
        <v>1.0</v>
      </c>
      <c r="E260" s="6">
        <v>1.0</v>
      </c>
      <c r="F260" s="6">
        <v>1.0</v>
      </c>
      <c r="G260" s="6">
        <v>4.0</v>
      </c>
      <c r="H260" s="33">
        <v>80.0</v>
      </c>
      <c r="I260" s="21">
        <v>1.0</v>
      </c>
      <c r="J260" s="21"/>
      <c r="K260" s="21"/>
      <c r="L260" s="21"/>
      <c r="M260" s="16">
        <f t="shared" si="3"/>
        <v>320</v>
      </c>
      <c r="N260" s="21">
        <f t="shared" si="4"/>
        <v>24</v>
      </c>
    </row>
    <row r="261" ht="13.5" customHeight="1">
      <c r="A261" s="25"/>
      <c r="B261" s="2"/>
      <c r="C261" s="3" t="s">
        <v>499</v>
      </c>
      <c r="D261" s="6">
        <v>1.0</v>
      </c>
      <c r="E261" s="6">
        <v>1.0</v>
      </c>
      <c r="F261" s="6">
        <v>1.0</v>
      </c>
      <c r="G261" s="6">
        <v>4.0</v>
      </c>
      <c r="H261" s="33">
        <v>80.0</v>
      </c>
      <c r="I261" s="21">
        <v>1.0</v>
      </c>
      <c r="J261" s="21"/>
      <c r="K261" s="21"/>
      <c r="L261" s="21"/>
      <c r="M261" s="16">
        <f t="shared" si="3"/>
        <v>320</v>
      </c>
      <c r="N261" s="21">
        <f t="shared" si="4"/>
        <v>24</v>
      </c>
    </row>
    <row r="262" ht="13.5" customHeight="1">
      <c r="A262" s="34" t="s">
        <v>644</v>
      </c>
      <c r="B262" s="2"/>
      <c r="D262" s="6"/>
      <c r="E262" s="6"/>
      <c r="F262" s="6"/>
      <c r="H262" s="35"/>
      <c r="I262" s="21"/>
      <c r="J262" s="21"/>
      <c r="K262" s="21"/>
      <c r="L262" s="21"/>
      <c r="M262" s="16" t="str">
        <f t="shared" si="3"/>
        <v/>
      </c>
      <c r="N262" s="21" t="str">
        <f t="shared" si="4"/>
        <v/>
      </c>
    </row>
    <row r="263" ht="13.5" customHeight="1">
      <c r="A263" s="25"/>
      <c r="B263" s="2"/>
      <c r="C263" s="3" t="s">
        <v>501</v>
      </c>
      <c r="D263" s="6">
        <v>1.0</v>
      </c>
      <c r="E263" s="6">
        <v>1.0</v>
      </c>
      <c r="F263" s="6">
        <v>1.0</v>
      </c>
      <c r="G263" s="6">
        <v>2.0</v>
      </c>
      <c r="H263" s="33">
        <v>40.0</v>
      </c>
      <c r="I263" s="21">
        <v>1.0</v>
      </c>
      <c r="J263" s="21"/>
      <c r="K263" s="21"/>
      <c r="L263" s="21"/>
      <c r="M263" s="16">
        <f t="shared" si="3"/>
        <v>80</v>
      </c>
      <c r="N263" s="21">
        <f t="shared" si="4"/>
        <v>56</v>
      </c>
    </row>
    <row r="264" ht="13.5" customHeight="1">
      <c r="A264" s="25"/>
      <c r="B264" s="2"/>
      <c r="C264" s="3" t="s">
        <v>502</v>
      </c>
      <c r="D264" s="6">
        <v>1.0</v>
      </c>
      <c r="E264" s="6">
        <v>1.0</v>
      </c>
      <c r="F264" s="6">
        <v>1.0</v>
      </c>
      <c r="G264" s="6">
        <v>2.0</v>
      </c>
      <c r="H264" s="33">
        <v>60.0</v>
      </c>
      <c r="I264" s="21">
        <v>1.0</v>
      </c>
      <c r="J264" s="21"/>
      <c r="K264" s="21"/>
      <c r="L264" s="21"/>
      <c r="M264" s="16">
        <f t="shared" si="3"/>
        <v>120</v>
      </c>
      <c r="N264" s="21">
        <f t="shared" si="4"/>
        <v>45</v>
      </c>
    </row>
    <row r="265" ht="13.5" customHeight="1">
      <c r="A265" s="25"/>
      <c r="B265" s="2"/>
      <c r="C265" s="3" t="s">
        <v>503</v>
      </c>
      <c r="D265" s="6">
        <v>1.0</v>
      </c>
      <c r="E265" s="6">
        <v>1.0</v>
      </c>
      <c r="F265" s="6">
        <v>1.0</v>
      </c>
      <c r="G265" s="6">
        <v>2.0</v>
      </c>
      <c r="H265" s="33">
        <v>40.0</v>
      </c>
      <c r="I265" s="21">
        <v>1.0</v>
      </c>
      <c r="J265" s="21"/>
      <c r="K265" s="21"/>
      <c r="L265" s="21"/>
      <c r="M265" s="16">
        <f t="shared" si="3"/>
        <v>80</v>
      </c>
      <c r="N265" s="21">
        <f t="shared" si="4"/>
        <v>56</v>
      </c>
    </row>
    <row r="266" ht="13.5" customHeight="1">
      <c r="A266" s="25"/>
      <c r="B266" s="2"/>
      <c r="C266" s="3" t="s">
        <v>504</v>
      </c>
      <c r="D266" s="6">
        <v>1.0</v>
      </c>
      <c r="E266" s="6">
        <v>1.0</v>
      </c>
      <c r="F266" s="6">
        <v>1.0</v>
      </c>
      <c r="G266" s="6">
        <v>2.0</v>
      </c>
      <c r="H266" s="33">
        <v>60.0</v>
      </c>
      <c r="I266" s="21">
        <v>1.0</v>
      </c>
      <c r="J266" s="21"/>
      <c r="K266" s="21"/>
      <c r="L266" s="21"/>
      <c r="M266" s="16">
        <f t="shared" si="3"/>
        <v>120</v>
      </c>
      <c r="N266" s="21">
        <f t="shared" si="4"/>
        <v>45</v>
      </c>
    </row>
    <row r="267" ht="13.5" customHeight="1">
      <c r="A267" s="25"/>
      <c r="B267" s="2"/>
      <c r="C267" s="3" t="s">
        <v>505</v>
      </c>
      <c r="D267" s="6">
        <v>1.0</v>
      </c>
      <c r="E267" s="6">
        <v>1.0</v>
      </c>
      <c r="F267" s="6">
        <v>1.0</v>
      </c>
      <c r="G267" s="6">
        <v>2.0</v>
      </c>
      <c r="H267" s="37">
        <v>60.0</v>
      </c>
      <c r="I267" s="21">
        <v>1.0</v>
      </c>
      <c r="J267" s="21"/>
      <c r="K267" s="21"/>
      <c r="L267" s="21"/>
      <c r="M267" s="16">
        <f t="shared" si="3"/>
        <v>120</v>
      </c>
      <c r="N267" s="21">
        <f t="shared" si="4"/>
        <v>45</v>
      </c>
    </row>
    <row r="268" ht="13.5" customHeight="1">
      <c r="A268" s="2" t="s">
        <v>648</v>
      </c>
      <c r="B268" s="2"/>
      <c r="D268" s="6"/>
      <c r="E268" s="6"/>
      <c r="F268" s="6"/>
      <c r="G268" s="6"/>
      <c r="H268" s="20"/>
      <c r="I268" s="21">
        <v>1.0</v>
      </c>
      <c r="J268" s="20"/>
      <c r="K268" s="20"/>
      <c r="L268" s="20"/>
      <c r="M268" s="16" t="str">
        <f t="shared" si="3"/>
        <v/>
      </c>
      <c r="N268" s="21" t="str">
        <f t="shared" si="4"/>
        <v/>
      </c>
    </row>
    <row r="269" ht="13.5" customHeight="1">
      <c r="A269" s="2"/>
      <c r="B269" s="2" t="s">
        <v>649</v>
      </c>
      <c r="C269" s="6" t="s">
        <v>650</v>
      </c>
      <c r="D269" s="6">
        <v>1.0</v>
      </c>
      <c r="E269" s="6">
        <v>1.0</v>
      </c>
      <c r="F269" s="6">
        <v>1.0</v>
      </c>
      <c r="G269" s="6">
        <v>2.0</v>
      </c>
      <c r="H269" s="21">
        <v>80.0</v>
      </c>
      <c r="I269" s="21">
        <v>1.0</v>
      </c>
      <c r="J269" s="21"/>
      <c r="K269" s="21"/>
      <c r="L269" s="21"/>
      <c r="M269" s="16">
        <f t="shared" si="3"/>
        <v>160</v>
      </c>
      <c r="N269" s="21">
        <f t="shared" si="4"/>
        <v>38</v>
      </c>
    </row>
    <row r="270" ht="13.5" customHeight="1">
      <c r="A270" s="2"/>
      <c r="B270" s="2" t="s">
        <v>651</v>
      </c>
      <c r="C270" s="6" t="s">
        <v>652</v>
      </c>
      <c r="D270" s="6">
        <v>1.0</v>
      </c>
      <c r="E270" s="6">
        <v>1.0</v>
      </c>
      <c r="F270" s="6">
        <v>1.0</v>
      </c>
      <c r="G270">
        <v>1.0</v>
      </c>
      <c r="H270" s="21">
        <v>80.0</v>
      </c>
      <c r="I270" s="21">
        <v>1.0</v>
      </c>
      <c r="J270" s="21"/>
      <c r="K270" s="21"/>
      <c r="L270" s="21"/>
      <c r="M270" s="16">
        <f t="shared" si="3"/>
        <v>80</v>
      </c>
      <c r="N270" s="21">
        <f t="shared" si="4"/>
        <v>56</v>
      </c>
    </row>
    <row r="271" ht="13.5" customHeight="1">
      <c r="A271" s="2"/>
      <c r="B271" s="2" t="s">
        <v>654</v>
      </c>
      <c r="C271" s="6" t="s">
        <v>655</v>
      </c>
      <c r="D271" s="6">
        <v>1.0</v>
      </c>
      <c r="E271" s="6">
        <v>1.0</v>
      </c>
      <c r="F271" s="6">
        <v>1.0</v>
      </c>
      <c r="G271" s="6">
        <v>2.0</v>
      </c>
      <c r="H271" s="21">
        <v>80.0</v>
      </c>
      <c r="I271" s="21">
        <v>1.0</v>
      </c>
      <c r="J271" s="21"/>
      <c r="K271" s="21"/>
      <c r="L271" s="21"/>
      <c r="M271" s="16">
        <f t="shared" si="3"/>
        <v>160</v>
      </c>
      <c r="N271" s="21">
        <f t="shared" si="4"/>
        <v>38</v>
      </c>
    </row>
    <row r="272" ht="13.5" customHeight="1">
      <c r="A272" s="2"/>
      <c r="B272" s="2" t="s">
        <v>656</v>
      </c>
      <c r="C272" s="6" t="s">
        <v>657</v>
      </c>
      <c r="D272" s="6">
        <v>1.0</v>
      </c>
      <c r="E272" s="6">
        <v>1.0</v>
      </c>
      <c r="F272" s="6">
        <v>1.0</v>
      </c>
      <c r="G272" s="6">
        <v>2.0</v>
      </c>
      <c r="H272" s="21">
        <v>80.0</v>
      </c>
      <c r="I272" s="21">
        <v>1.0</v>
      </c>
      <c r="J272" s="21"/>
      <c r="K272" s="21"/>
      <c r="L272" s="21"/>
      <c r="M272" s="16">
        <f t="shared" si="3"/>
        <v>160</v>
      </c>
      <c r="N272" s="21">
        <f t="shared" si="4"/>
        <v>38</v>
      </c>
    </row>
    <row r="273" ht="13.5" customHeight="1">
      <c r="A273" s="2"/>
      <c r="B273" s="2" t="s">
        <v>659</v>
      </c>
      <c r="C273" s="6" t="s">
        <v>660</v>
      </c>
      <c r="D273" s="6">
        <v>1.0</v>
      </c>
      <c r="E273" s="6">
        <v>1.0</v>
      </c>
      <c r="F273" s="6">
        <v>1.0</v>
      </c>
      <c r="G273" s="6">
        <v>3.0</v>
      </c>
      <c r="H273" s="21">
        <v>80.0</v>
      </c>
      <c r="I273" s="21">
        <v>1.0</v>
      </c>
      <c r="J273" s="21"/>
      <c r="K273" s="21"/>
      <c r="L273" s="21"/>
      <c r="M273" s="16">
        <f t="shared" si="3"/>
        <v>240</v>
      </c>
      <c r="N273" s="21">
        <f t="shared" si="4"/>
        <v>29</v>
      </c>
    </row>
    <row r="274" ht="13.5" customHeight="1">
      <c r="A274" s="2"/>
      <c r="B274" s="2" t="s">
        <v>661</v>
      </c>
      <c r="C274" s="6" t="s">
        <v>663</v>
      </c>
      <c r="D274" s="6">
        <v>1.0</v>
      </c>
      <c r="E274" s="6">
        <v>1.0</v>
      </c>
      <c r="F274" s="6">
        <v>1.0</v>
      </c>
      <c r="G274">
        <v>1.0</v>
      </c>
      <c r="H274" s="21">
        <v>80.0</v>
      </c>
      <c r="I274" s="21">
        <v>1.0</v>
      </c>
      <c r="J274" s="21"/>
      <c r="K274" s="21"/>
      <c r="L274" s="21"/>
      <c r="M274" s="16">
        <f t="shared" si="3"/>
        <v>80</v>
      </c>
      <c r="N274" s="21">
        <f t="shared" si="4"/>
        <v>56</v>
      </c>
    </row>
    <row r="275" ht="13.5" customHeight="1">
      <c r="A275" s="2"/>
      <c r="B275" s="19" t="s">
        <v>664</v>
      </c>
      <c r="C275" s="3" t="s">
        <v>665</v>
      </c>
      <c r="D275" s="6">
        <v>1.0</v>
      </c>
      <c r="E275" s="6">
        <v>1.0</v>
      </c>
      <c r="F275" s="6">
        <v>1.0</v>
      </c>
      <c r="G275">
        <v>1.0</v>
      </c>
      <c r="H275" s="21">
        <v>80.0</v>
      </c>
      <c r="I275" s="21">
        <v>1.0</v>
      </c>
      <c r="J275" s="21"/>
      <c r="K275" s="21"/>
      <c r="L275" s="21"/>
      <c r="M275" s="16">
        <f t="shared" si="3"/>
        <v>80</v>
      </c>
      <c r="N275" s="21">
        <f t="shared" si="4"/>
        <v>56</v>
      </c>
    </row>
    <row r="276" ht="13.5" customHeight="1">
      <c r="A276" s="2"/>
      <c r="B276" s="19" t="s">
        <v>667</v>
      </c>
      <c r="C276" s="3" t="s">
        <v>668</v>
      </c>
      <c r="D276" s="6">
        <v>1.0</v>
      </c>
      <c r="E276" s="6">
        <v>1.0</v>
      </c>
      <c r="F276" s="6">
        <v>1.0</v>
      </c>
      <c r="G276">
        <v>1.0</v>
      </c>
      <c r="H276" s="21">
        <v>80.0</v>
      </c>
      <c r="I276" s="21">
        <v>1.0</v>
      </c>
      <c r="J276" s="21"/>
      <c r="K276" s="21"/>
      <c r="L276" s="21"/>
      <c r="M276" s="16">
        <f t="shared" si="3"/>
        <v>80</v>
      </c>
      <c r="N276" s="21">
        <f t="shared" si="4"/>
        <v>56</v>
      </c>
    </row>
    <row r="277" ht="13.5" customHeight="1">
      <c r="A277" s="2"/>
      <c r="B277" s="19" t="s">
        <v>669</v>
      </c>
      <c r="C277" s="3" t="s">
        <v>670</v>
      </c>
      <c r="D277" s="6">
        <v>1.0</v>
      </c>
      <c r="E277" s="6">
        <v>1.0</v>
      </c>
      <c r="F277" s="6">
        <v>1.0</v>
      </c>
      <c r="G277" s="6">
        <v>2.0</v>
      </c>
      <c r="H277" s="21">
        <v>80.0</v>
      </c>
      <c r="I277" s="21">
        <v>1.0</v>
      </c>
      <c r="J277" s="21"/>
      <c r="K277" s="21"/>
      <c r="L277" s="21"/>
      <c r="M277" s="16">
        <f t="shared" si="3"/>
        <v>160</v>
      </c>
      <c r="N277" s="21">
        <f t="shared" si="4"/>
        <v>38</v>
      </c>
    </row>
    <row r="278" ht="13.5" customHeight="1">
      <c r="A278" s="2"/>
      <c r="B278" s="19" t="s">
        <v>672</v>
      </c>
      <c r="C278" s="3" t="s">
        <v>673</v>
      </c>
      <c r="D278" s="6">
        <v>1.0</v>
      </c>
      <c r="E278" s="6">
        <v>1.0</v>
      </c>
      <c r="F278" s="6">
        <v>1.0</v>
      </c>
      <c r="G278">
        <v>1.0</v>
      </c>
      <c r="H278" s="21">
        <v>80.0</v>
      </c>
      <c r="I278" s="21">
        <v>1.0</v>
      </c>
      <c r="J278" s="21"/>
      <c r="K278" s="21"/>
      <c r="L278" s="21"/>
      <c r="M278" s="16">
        <f t="shared" si="3"/>
        <v>80</v>
      </c>
      <c r="N278" s="21">
        <f t="shared" si="4"/>
        <v>56</v>
      </c>
    </row>
    <row r="279" ht="13.5" customHeight="1">
      <c r="A279" s="7" t="s">
        <v>675</v>
      </c>
      <c r="B279" s="2"/>
      <c r="D279" s="6"/>
      <c r="E279" s="6"/>
      <c r="F279" s="6"/>
      <c r="H279" s="21"/>
      <c r="I279" s="21"/>
      <c r="J279" s="21"/>
      <c r="K279" s="21"/>
      <c r="L279" s="21"/>
      <c r="M279" s="16" t="str">
        <f t="shared" si="3"/>
        <v/>
      </c>
      <c r="N279" s="21" t="str">
        <f t="shared" si="4"/>
        <v/>
      </c>
    </row>
    <row r="280" ht="13.5" customHeight="1">
      <c r="A280" s="7"/>
      <c r="B280" s="2" t="s">
        <v>676</v>
      </c>
      <c r="C280" s="6" t="s">
        <v>677</v>
      </c>
      <c r="D280" s="6">
        <v>1.0</v>
      </c>
      <c r="E280" s="6">
        <v>1.0</v>
      </c>
      <c r="F280" s="6">
        <v>1.0</v>
      </c>
      <c r="G280">
        <v>1.0</v>
      </c>
      <c r="H280" s="21">
        <v>150.0</v>
      </c>
      <c r="I280" s="21">
        <v>1.0</v>
      </c>
      <c r="J280" s="21"/>
      <c r="K280" s="21"/>
      <c r="L280" s="21"/>
      <c r="M280" s="16">
        <f t="shared" si="3"/>
        <v>150</v>
      </c>
      <c r="N280" s="21">
        <f t="shared" si="4"/>
        <v>40</v>
      </c>
    </row>
    <row r="281" ht="13.5" customHeight="1">
      <c r="A281" s="7"/>
      <c r="B281" s="2" t="s">
        <v>679</v>
      </c>
      <c r="C281" s="6" t="s">
        <v>680</v>
      </c>
      <c r="D281" s="6">
        <v>1.0</v>
      </c>
      <c r="E281" s="6">
        <v>1.0</v>
      </c>
      <c r="F281" s="6">
        <v>1.0</v>
      </c>
      <c r="G281">
        <v>1.0</v>
      </c>
      <c r="H281" s="21">
        <v>200.0</v>
      </c>
      <c r="I281" s="21">
        <v>1.0</v>
      </c>
      <c r="J281" s="21"/>
      <c r="K281" s="21"/>
      <c r="L281" s="21"/>
      <c r="M281" s="16">
        <f t="shared" si="3"/>
        <v>200</v>
      </c>
      <c r="N281" s="21">
        <f t="shared" si="4"/>
        <v>33</v>
      </c>
    </row>
    <row r="282" ht="13.5" customHeight="1">
      <c r="A282" s="7"/>
      <c r="B282" s="2" t="s">
        <v>681</v>
      </c>
      <c r="C282" s="6" t="s">
        <v>682</v>
      </c>
      <c r="D282" s="6">
        <v>1.0</v>
      </c>
      <c r="E282" s="6">
        <v>1.0</v>
      </c>
      <c r="F282" s="6">
        <v>1.0</v>
      </c>
      <c r="G282">
        <v>1.0</v>
      </c>
      <c r="H282" s="21">
        <v>250.0</v>
      </c>
      <c r="I282" s="21">
        <v>1.0</v>
      </c>
      <c r="J282" s="21"/>
      <c r="K282" s="21"/>
      <c r="L282" s="21"/>
      <c r="M282" s="16">
        <f t="shared" si="3"/>
        <v>250</v>
      </c>
      <c r="N282" s="21">
        <f t="shared" si="4"/>
        <v>29</v>
      </c>
    </row>
    <row r="283" ht="13.5" customHeight="1">
      <c r="A283" s="7" t="s">
        <v>684</v>
      </c>
      <c r="B283" s="2"/>
      <c r="D283" s="6"/>
      <c r="E283" s="6"/>
      <c r="F283" s="6"/>
      <c r="H283" s="21"/>
      <c r="I283" s="21"/>
      <c r="J283" s="21"/>
      <c r="K283" s="21"/>
      <c r="L283" s="21"/>
      <c r="M283" s="16"/>
      <c r="N283" s="21"/>
    </row>
    <row r="284" ht="13.5" customHeight="1">
      <c r="A284" s="2"/>
      <c r="B284" s="2" t="s">
        <v>686</v>
      </c>
      <c r="C284" s="3" t="s">
        <v>518</v>
      </c>
      <c r="D284" s="6">
        <v>1.0</v>
      </c>
      <c r="E284" s="6">
        <v>1.0</v>
      </c>
      <c r="F284" s="6">
        <v>1.0</v>
      </c>
      <c r="G284" s="6">
        <v>1.0</v>
      </c>
      <c r="H284" s="26">
        <v>900.0</v>
      </c>
      <c r="I284" s="21">
        <v>1.0</v>
      </c>
      <c r="J284" s="21"/>
      <c r="K284" s="21"/>
      <c r="L284" s="21"/>
      <c r="M284" s="16">
        <f t="shared" ref="M284:M996" si="5">if(D284=1,(G284*H284+K284+L284+(J284*2))*I284,)</f>
        <v>900</v>
      </c>
      <c r="N284" s="21">
        <f t="shared" ref="N284:N996" si="6">if(M284&gt;0,round((1/(M284+100))*10000),)</f>
        <v>10</v>
      </c>
    </row>
    <row r="285" ht="13.5" customHeight="1">
      <c r="A285" s="2"/>
      <c r="B285" s="2" t="s">
        <v>704</v>
      </c>
      <c r="C285" s="3" t="s">
        <v>519</v>
      </c>
      <c r="D285" s="6">
        <v>1.0</v>
      </c>
      <c r="E285" s="6">
        <v>1.0</v>
      </c>
      <c r="F285" s="6">
        <v>1.0</v>
      </c>
      <c r="G285" s="6">
        <v>1.0</v>
      </c>
      <c r="H285" s="26">
        <v>900.0</v>
      </c>
      <c r="I285" s="21">
        <v>1.0</v>
      </c>
      <c r="J285" s="21"/>
      <c r="K285" s="21"/>
      <c r="L285" s="21"/>
      <c r="M285" s="16">
        <f t="shared" si="5"/>
        <v>900</v>
      </c>
      <c r="N285" s="21">
        <f t="shared" si="6"/>
        <v>10</v>
      </c>
    </row>
    <row r="286" ht="13.5" customHeight="1">
      <c r="A286" s="2"/>
      <c r="B286" s="2" t="s">
        <v>705</v>
      </c>
      <c r="C286" s="3" t="s">
        <v>520</v>
      </c>
      <c r="D286" s="6">
        <v>1.0</v>
      </c>
      <c r="E286" s="6">
        <v>1.0</v>
      </c>
      <c r="F286" s="6">
        <v>1.0</v>
      </c>
      <c r="G286" s="6">
        <v>1.0</v>
      </c>
      <c r="H286" s="26">
        <v>900.0</v>
      </c>
      <c r="I286" s="21">
        <v>1.0</v>
      </c>
      <c r="J286" s="21"/>
      <c r="K286" s="21"/>
      <c r="L286" s="21"/>
      <c r="M286" s="16">
        <f t="shared" si="5"/>
        <v>900</v>
      </c>
      <c r="N286" s="21">
        <f t="shared" si="6"/>
        <v>10</v>
      </c>
    </row>
    <row r="287" ht="13.5" customHeight="1">
      <c r="A287" s="2"/>
      <c r="B287" s="2" t="s">
        <v>707</v>
      </c>
      <c r="C287" s="3" t="s">
        <v>521</v>
      </c>
      <c r="D287" s="6">
        <v>1.0</v>
      </c>
      <c r="E287" s="6">
        <v>1.0</v>
      </c>
      <c r="F287" s="6">
        <v>1.0</v>
      </c>
      <c r="G287" s="6">
        <v>3.0</v>
      </c>
      <c r="H287" s="26">
        <v>1600.0</v>
      </c>
      <c r="I287" s="21">
        <v>1.0</v>
      </c>
      <c r="J287" s="21"/>
      <c r="K287" s="21"/>
      <c r="L287" s="21"/>
      <c r="M287" s="16">
        <f t="shared" si="5"/>
        <v>4800</v>
      </c>
      <c r="N287" s="21">
        <f t="shared" si="6"/>
        <v>2</v>
      </c>
    </row>
    <row r="288" ht="13.5" customHeight="1">
      <c r="A288" s="2"/>
      <c r="B288" s="2" t="s">
        <v>709</v>
      </c>
      <c r="C288" s="3" t="s">
        <v>522</v>
      </c>
      <c r="D288" s="6">
        <v>1.0</v>
      </c>
      <c r="E288" s="6">
        <v>1.0</v>
      </c>
      <c r="F288" s="6">
        <v>1.0</v>
      </c>
      <c r="G288" s="6">
        <v>3.0</v>
      </c>
      <c r="H288" s="26">
        <v>1600.0</v>
      </c>
      <c r="I288" s="21">
        <v>1.0</v>
      </c>
      <c r="J288" s="21"/>
      <c r="K288" s="21"/>
      <c r="L288" s="21"/>
      <c r="M288" s="16">
        <f t="shared" si="5"/>
        <v>4800</v>
      </c>
      <c r="N288" s="21">
        <f t="shared" si="6"/>
        <v>2</v>
      </c>
    </row>
    <row r="289" ht="13.5" customHeight="1">
      <c r="A289" s="2"/>
      <c r="B289" s="2" t="s">
        <v>713</v>
      </c>
      <c r="C289" s="3" t="s">
        <v>523</v>
      </c>
      <c r="D289" s="6">
        <v>1.0</v>
      </c>
      <c r="E289" s="6">
        <v>1.0</v>
      </c>
      <c r="F289" s="6">
        <v>1.0</v>
      </c>
      <c r="G289" s="6">
        <v>3.0</v>
      </c>
      <c r="H289" s="26">
        <v>2000.0</v>
      </c>
      <c r="I289" s="21">
        <v>1.0</v>
      </c>
      <c r="J289" s="21"/>
      <c r="K289" s="21"/>
      <c r="L289" s="21"/>
      <c r="M289" s="16">
        <f t="shared" si="5"/>
        <v>6000</v>
      </c>
      <c r="N289" s="21">
        <f t="shared" si="6"/>
        <v>2</v>
      </c>
    </row>
    <row r="290" ht="13.5" customHeight="1">
      <c r="A290" s="2"/>
      <c r="B290" s="2" t="s">
        <v>715</v>
      </c>
      <c r="C290" s="3" t="s">
        <v>524</v>
      </c>
      <c r="D290" s="6">
        <v>1.0</v>
      </c>
      <c r="E290" s="6">
        <v>1.0</v>
      </c>
      <c r="F290" s="6">
        <v>1.0</v>
      </c>
      <c r="G290" s="6">
        <v>3.0</v>
      </c>
      <c r="H290" s="26">
        <v>2000.0</v>
      </c>
      <c r="I290" s="21">
        <v>1.0</v>
      </c>
      <c r="J290" s="21"/>
      <c r="K290" s="21"/>
      <c r="L290" s="21"/>
      <c r="M290" s="16">
        <f t="shared" si="5"/>
        <v>6000</v>
      </c>
      <c r="N290" s="21">
        <f t="shared" si="6"/>
        <v>2</v>
      </c>
    </row>
    <row r="291" ht="13.5" customHeight="1">
      <c r="A291" s="2"/>
      <c r="B291" s="2" t="s">
        <v>717</v>
      </c>
      <c r="C291" s="3" t="s">
        <v>525</v>
      </c>
      <c r="D291" s="6">
        <v>1.0</v>
      </c>
      <c r="E291" s="6">
        <v>1.0</v>
      </c>
      <c r="F291" s="6">
        <v>1.0</v>
      </c>
      <c r="G291" s="6">
        <v>3.0</v>
      </c>
      <c r="H291" s="26">
        <v>2000.0</v>
      </c>
      <c r="I291" s="21">
        <v>1.0</v>
      </c>
      <c r="J291" s="21"/>
      <c r="K291" s="21"/>
      <c r="L291" s="21"/>
      <c r="M291" s="16">
        <f t="shared" si="5"/>
        <v>6000</v>
      </c>
      <c r="N291" s="21">
        <f t="shared" si="6"/>
        <v>2</v>
      </c>
    </row>
    <row r="292" ht="13.5" customHeight="1">
      <c r="A292" s="2"/>
      <c r="B292" s="2" t="s">
        <v>720</v>
      </c>
      <c r="C292" s="3" t="s">
        <v>526</v>
      </c>
      <c r="D292" s="6">
        <v>1.0</v>
      </c>
      <c r="E292" s="6">
        <v>1.0</v>
      </c>
      <c r="F292" s="6">
        <v>1.0</v>
      </c>
      <c r="G292" s="6">
        <v>3.0</v>
      </c>
      <c r="H292" s="26">
        <v>1000.0</v>
      </c>
      <c r="I292" s="21">
        <v>1.0</v>
      </c>
      <c r="J292" s="21"/>
      <c r="K292" s="21"/>
      <c r="L292" s="21"/>
      <c r="M292" s="16">
        <f t="shared" si="5"/>
        <v>3000</v>
      </c>
      <c r="N292" s="21">
        <f t="shared" si="6"/>
        <v>3</v>
      </c>
    </row>
    <row r="293" ht="13.5" customHeight="1">
      <c r="A293" s="2"/>
      <c r="B293" s="19" t="s">
        <v>722</v>
      </c>
      <c r="C293" s="3" t="s">
        <v>723</v>
      </c>
      <c r="D293" s="6">
        <v>1.0</v>
      </c>
      <c r="E293" s="6">
        <v>1.0</v>
      </c>
      <c r="F293" s="6">
        <v>1.0</v>
      </c>
      <c r="G293" s="6">
        <v>2.0</v>
      </c>
      <c r="H293" s="21">
        <v>400.0</v>
      </c>
      <c r="I293" s="21">
        <v>1.0</v>
      </c>
      <c r="J293" s="21"/>
      <c r="K293" s="21"/>
      <c r="L293" s="21"/>
      <c r="M293" s="16">
        <f t="shared" si="5"/>
        <v>800</v>
      </c>
      <c r="N293" s="21">
        <f t="shared" si="6"/>
        <v>11</v>
      </c>
    </row>
    <row r="294" ht="13.5" customHeight="1">
      <c r="A294" s="2"/>
      <c r="B294" s="19" t="s">
        <v>725</v>
      </c>
      <c r="C294" s="3" t="s">
        <v>726</v>
      </c>
      <c r="D294" s="6">
        <v>1.0</v>
      </c>
      <c r="E294" s="6">
        <v>1.0</v>
      </c>
      <c r="F294" s="6">
        <v>1.0</v>
      </c>
      <c r="G294" s="6">
        <v>2.0</v>
      </c>
      <c r="H294" s="21">
        <v>400.0</v>
      </c>
      <c r="I294" s="21">
        <v>1.0</v>
      </c>
      <c r="J294" s="21"/>
      <c r="K294" s="21"/>
      <c r="L294" s="21"/>
      <c r="M294" s="16">
        <f t="shared" si="5"/>
        <v>800</v>
      </c>
      <c r="N294" s="21">
        <f t="shared" si="6"/>
        <v>11</v>
      </c>
    </row>
    <row r="295" ht="13.5" customHeight="1">
      <c r="A295" s="2"/>
      <c r="B295" s="19" t="s">
        <v>729</v>
      </c>
      <c r="C295" s="3" t="s">
        <v>730</v>
      </c>
      <c r="D295" s="6">
        <v>1.0</v>
      </c>
      <c r="E295" s="6">
        <v>1.0</v>
      </c>
      <c r="F295" s="6">
        <v>1.0</v>
      </c>
      <c r="G295" s="6">
        <v>2.0</v>
      </c>
      <c r="H295" s="21">
        <v>400.0</v>
      </c>
      <c r="I295" s="21">
        <v>1.0</v>
      </c>
      <c r="J295" s="21"/>
      <c r="K295" s="21">
        <v>100.0</v>
      </c>
      <c r="L295" s="21"/>
      <c r="M295" s="16">
        <f t="shared" si="5"/>
        <v>900</v>
      </c>
      <c r="N295" s="21">
        <f t="shared" si="6"/>
        <v>10</v>
      </c>
    </row>
    <row r="296" ht="13.5" customHeight="1">
      <c r="A296" s="2"/>
      <c r="B296" s="19" t="s">
        <v>731</v>
      </c>
      <c r="C296" s="3" t="s">
        <v>732</v>
      </c>
      <c r="D296" s="6">
        <v>1.0</v>
      </c>
      <c r="E296" s="6">
        <v>1.0</v>
      </c>
      <c r="F296" s="6">
        <v>1.0</v>
      </c>
      <c r="G296" s="6">
        <v>2.0</v>
      </c>
      <c r="H296" s="21">
        <v>400.0</v>
      </c>
      <c r="I296" s="21">
        <v>1.0</v>
      </c>
      <c r="J296" s="21"/>
      <c r="K296" s="21"/>
      <c r="L296" s="21"/>
      <c r="M296" s="16">
        <f t="shared" si="5"/>
        <v>800</v>
      </c>
      <c r="N296" s="21">
        <f t="shared" si="6"/>
        <v>11</v>
      </c>
    </row>
    <row r="297" ht="13.5" customHeight="1">
      <c r="A297" s="2"/>
      <c r="B297" s="19" t="s">
        <v>734</v>
      </c>
      <c r="C297" s="3" t="s">
        <v>735</v>
      </c>
      <c r="D297" s="6">
        <v>1.0</v>
      </c>
      <c r="E297" s="6">
        <v>1.0</v>
      </c>
      <c r="F297" s="6">
        <v>1.0</v>
      </c>
      <c r="G297" s="6">
        <v>2.0</v>
      </c>
      <c r="H297" s="21">
        <v>400.0</v>
      </c>
      <c r="I297" s="21">
        <v>1.0</v>
      </c>
      <c r="J297" s="21"/>
      <c r="K297" s="21"/>
      <c r="L297" s="21"/>
      <c r="M297" s="16">
        <f t="shared" si="5"/>
        <v>800</v>
      </c>
      <c r="N297" s="21">
        <f t="shared" si="6"/>
        <v>11</v>
      </c>
    </row>
    <row r="298" ht="13.5" customHeight="1">
      <c r="A298" s="2"/>
      <c r="B298" s="19" t="s">
        <v>736</v>
      </c>
      <c r="C298" s="3" t="s">
        <v>737</v>
      </c>
      <c r="D298" s="6">
        <v>1.0</v>
      </c>
      <c r="E298" s="6">
        <v>1.0</v>
      </c>
      <c r="F298" s="6">
        <v>1.0</v>
      </c>
      <c r="G298" s="6">
        <v>2.0</v>
      </c>
      <c r="H298" s="21">
        <v>400.0</v>
      </c>
      <c r="I298" s="21">
        <v>1.0</v>
      </c>
      <c r="J298" s="21"/>
      <c r="K298" s="21">
        <v>100.0</v>
      </c>
      <c r="L298" s="21"/>
      <c r="M298" s="16">
        <f t="shared" si="5"/>
        <v>900</v>
      </c>
      <c r="N298" s="21">
        <f t="shared" si="6"/>
        <v>10</v>
      </c>
    </row>
    <row r="299" ht="13.5" customHeight="1">
      <c r="A299" s="2"/>
      <c r="B299" s="19" t="s">
        <v>739</v>
      </c>
      <c r="C299" s="3" t="s">
        <v>740</v>
      </c>
      <c r="D299" s="6">
        <v>1.0</v>
      </c>
      <c r="E299" s="6">
        <v>1.0</v>
      </c>
      <c r="F299" s="6">
        <v>1.0</v>
      </c>
      <c r="G299" s="6">
        <v>3.0</v>
      </c>
      <c r="H299" s="26">
        <v>1000.0</v>
      </c>
      <c r="I299" s="21">
        <v>1.0</v>
      </c>
      <c r="J299" s="21"/>
      <c r="K299" s="21"/>
      <c r="L299" s="21"/>
      <c r="M299" s="16">
        <f t="shared" si="5"/>
        <v>3000</v>
      </c>
      <c r="N299" s="21">
        <f t="shared" si="6"/>
        <v>3</v>
      </c>
    </row>
    <row r="300" ht="13.5" customHeight="1">
      <c r="A300" s="2"/>
      <c r="B300" s="19" t="s">
        <v>742</v>
      </c>
      <c r="C300" s="3" t="s">
        <v>743</v>
      </c>
      <c r="D300" s="6">
        <v>1.0</v>
      </c>
      <c r="E300" s="6">
        <v>1.0</v>
      </c>
      <c r="F300" s="6">
        <v>1.0</v>
      </c>
      <c r="G300" s="6">
        <v>3.0</v>
      </c>
      <c r="H300" s="30">
        <v>900.0</v>
      </c>
      <c r="I300" s="21">
        <v>1.0</v>
      </c>
      <c r="J300" s="21"/>
      <c r="K300" s="21"/>
      <c r="L300" s="21"/>
      <c r="M300" s="16">
        <f t="shared" si="5"/>
        <v>2700</v>
      </c>
      <c r="N300" s="21">
        <f t="shared" si="6"/>
        <v>4</v>
      </c>
    </row>
    <row r="301" ht="13.5" customHeight="1">
      <c r="A301" s="2"/>
      <c r="B301" s="19" t="s">
        <v>745</v>
      </c>
      <c r="C301" s="3" t="s">
        <v>746</v>
      </c>
      <c r="D301" s="6">
        <v>1.0</v>
      </c>
      <c r="E301" s="6">
        <v>1.0</v>
      </c>
      <c r="F301" s="6">
        <v>1.0</v>
      </c>
      <c r="G301" s="6">
        <v>3.0</v>
      </c>
      <c r="H301" s="30">
        <v>900.0</v>
      </c>
      <c r="I301" s="21">
        <v>1.0</v>
      </c>
      <c r="J301" s="21"/>
      <c r="K301" s="21"/>
      <c r="L301" s="21"/>
      <c r="M301" s="16">
        <f t="shared" si="5"/>
        <v>2700</v>
      </c>
      <c r="N301" s="21">
        <f t="shared" si="6"/>
        <v>4</v>
      </c>
    </row>
    <row r="302" ht="13.5" customHeight="1">
      <c r="A302" s="7" t="s">
        <v>747</v>
      </c>
      <c r="B302" s="2"/>
      <c r="D302" s="6"/>
      <c r="E302" s="6"/>
      <c r="F302" s="6"/>
      <c r="H302" s="21"/>
      <c r="I302" s="21">
        <v>1.0</v>
      </c>
      <c r="J302" s="21"/>
      <c r="K302" s="21"/>
      <c r="L302" s="21"/>
      <c r="M302" s="16" t="str">
        <f t="shared" si="5"/>
        <v/>
      </c>
      <c r="N302" s="21" t="str">
        <f t="shared" si="6"/>
        <v/>
      </c>
    </row>
    <row r="303" ht="13.5" customHeight="1">
      <c r="A303" s="2"/>
      <c r="B303" s="19" t="s">
        <v>749</v>
      </c>
      <c r="C303" s="3" t="s">
        <v>528</v>
      </c>
      <c r="D303" s="6">
        <v>1.0</v>
      </c>
      <c r="E303" s="6">
        <v>1.0</v>
      </c>
      <c r="F303" s="6">
        <v>1.0</v>
      </c>
      <c r="G303" s="6">
        <v>1.0</v>
      </c>
      <c r="H303" s="30">
        <v>500.0</v>
      </c>
      <c r="I303" s="21">
        <v>1.0</v>
      </c>
      <c r="J303" s="21"/>
      <c r="K303" s="21"/>
      <c r="L303" s="21"/>
      <c r="M303" s="16">
        <f t="shared" si="5"/>
        <v>500</v>
      </c>
      <c r="N303" s="21">
        <f t="shared" si="6"/>
        <v>17</v>
      </c>
    </row>
    <row r="304" ht="13.5" customHeight="1">
      <c r="A304" s="2"/>
      <c r="B304" s="19" t="s">
        <v>754</v>
      </c>
      <c r="C304" s="3" t="s">
        <v>529</v>
      </c>
      <c r="D304" s="6">
        <v>1.0</v>
      </c>
      <c r="E304" s="6">
        <v>1.0</v>
      </c>
      <c r="F304" s="6">
        <v>1.0</v>
      </c>
      <c r="G304" s="6">
        <v>1.0</v>
      </c>
      <c r="H304" s="30">
        <v>500.0</v>
      </c>
      <c r="I304" s="21">
        <v>1.0</v>
      </c>
      <c r="J304" s="21"/>
      <c r="K304" s="21"/>
      <c r="L304" s="21"/>
      <c r="M304" s="16">
        <f t="shared" si="5"/>
        <v>500</v>
      </c>
      <c r="N304" s="21">
        <f t="shared" si="6"/>
        <v>17</v>
      </c>
    </row>
    <row r="305" ht="13.5" customHeight="1">
      <c r="A305" s="2"/>
      <c r="B305" s="19" t="s">
        <v>757</v>
      </c>
      <c r="C305" s="3" t="s">
        <v>530</v>
      </c>
      <c r="D305" s="6">
        <v>1.0</v>
      </c>
      <c r="E305" s="6">
        <v>1.0</v>
      </c>
      <c r="F305" s="6">
        <v>1.0</v>
      </c>
      <c r="G305" s="6">
        <v>1.0</v>
      </c>
      <c r="H305" s="30">
        <v>500.0</v>
      </c>
      <c r="I305" s="21">
        <v>1.0</v>
      </c>
      <c r="J305" s="21"/>
      <c r="K305" s="21"/>
      <c r="L305" s="21">
        <v>150.0</v>
      </c>
      <c r="M305" s="16">
        <f t="shared" si="5"/>
        <v>650</v>
      </c>
      <c r="N305" s="21">
        <f t="shared" si="6"/>
        <v>13</v>
      </c>
    </row>
    <row r="306" ht="13.5" customHeight="1">
      <c r="A306" s="2"/>
      <c r="B306" s="19" t="s">
        <v>759</v>
      </c>
      <c r="C306" s="3" t="s">
        <v>531</v>
      </c>
      <c r="D306" s="6">
        <v>1.0</v>
      </c>
      <c r="E306" s="6">
        <v>1.0</v>
      </c>
      <c r="F306" s="6">
        <v>1.0</v>
      </c>
      <c r="G306" s="6">
        <v>1.0</v>
      </c>
      <c r="H306" s="30">
        <v>300.0</v>
      </c>
      <c r="I306" s="21">
        <v>1.0</v>
      </c>
      <c r="J306" s="21"/>
      <c r="K306" s="21"/>
      <c r="L306" s="21"/>
      <c r="M306" s="16">
        <f t="shared" si="5"/>
        <v>300</v>
      </c>
      <c r="N306" s="21">
        <f t="shared" si="6"/>
        <v>25</v>
      </c>
    </row>
    <row r="307" ht="13.5" customHeight="1">
      <c r="A307" s="2"/>
      <c r="B307" s="19" t="s">
        <v>762</v>
      </c>
      <c r="C307" s="3" t="s">
        <v>532</v>
      </c>
      <c r="D307" s="6">
        <v>1.0</v>
      </c>
      <c r="E307" s="6">
        <v>1.0</v>
      </c>
      <c r="F307" s="6">
        <v>1.0</v>
      </c>
      <c r="G307" s="6">
        <v>1.0</v>
      </c>
      <c r="H307" s="30">
        <v>300.0</v>
      </c>
      <c r="I307" s="21">
        <v>1.0</v>
      </c>
      <c r="J307" s="21"/>
      <c r="K307" s="21"/>
      <c r="L307" s="21">
        <v>150.0</v>
      </c>
      <c r="M307" s="16">
        <f t="shared" si="5"/>
        <v>450</v>
      </c>
      <c r="N307" s="21">
        <f t="shared" si="6"/>
        <v>18</v>
      </c>
    </row>
    <row r="308" ht="13.5" customHeight="1">
      <c r="A308" s="2"/>
      <c r="B308" s="19" t="s">
        <v>769</v>
      </c>
      <c r="C308" s="3" t="s">
        <v>533</v>
      </c>
      <c r="D308" s="6">
        <v>1.0</v>
      </c>
      <c r="E308" s="6">
        <v>1.0</v>
      </c>
      <c r="F308" s="6">
        <v>1.0</v>
      </c>
      <c r="G308" s="6">
        <v>1.0</v>
      </c>
      <c r="H308" s="30">
        <v>300.0</v>
      </c>
      <c r="I308" s="21">
        <v>1.0</v>
      </c>
      <c r="J308" s="21"/>
      <c r="K308" s="21"/>
      <c r="L308" s="21">
        <v>150.0</v>
      </c>
      <c r="M308" s="16">
        <f t="shared" si="5"/>
        <v>450</v>
      </c>
      <c r="N308" s="21">
        <f t="shared" si="6"/>
        <v>18</v>
      </c>
    </row>
    <row r="309" ht="13.5" customHeight="1">
      <c r="A309" s="2"/>
      <c r="B309" s="19" t="s">
        <v>773</v>
      </c>
      <c r="C309" s="3" t="s">
        <v>534</v>
      </c>
      <c r="D309" s="6">
        <v>1.0</v>
      </c>
      <c r="E309" s="6">
        <v>1.0</v>
      </c>
      <c r="F309" s="6">
        <v>1.0</v>
      </c>
      <c r="G309" s="6">
        <v>1.0</v>
      </c>
      <c r="H309" s="30">
        <v>300.0</v>
      </c>
      <c r="I309" s="21">
        <v>1.0</v>
      </c>
      <c r="J309" s="21"/>
      <c r="K309" s="21"/>
      <c r="L309" s="21"/>
      <c r="M309" s="16">
        <f t="shared" si="5"/>
        <v>300</v>
      </c>
      <c r="N309" s="21">
        <f t="shared" si="6"/>
        <v>25</v>
      </c>
    </row>
    <row r="310" ht="13.5" customHeight="1">
      <c r="A310" s="2"/>
      <c r="B310" s="19" t="s">
        <v>776</v>
      </c>
      <c r="C310" s="3" t="s">
        <v>536</v>
      </c>
      <c r="D310" s="6">
        <v>1.0</v>
      </c>
      <c r="E310" s="6">
        <v>1.0</v>
      </c>
      <c r="F310" s="6">
        <v>1.0</v>
      </c>
      <c r="G310" s="6">
        <v>1.0</v>
      </c>
      <c r="H310" s="30">
        <v>300.0</v>
      </c>
      <c r="I310" s="21">
        <v>1.0</v>
      </c>
      <c r="J310" s="21"/>
      <c r="K310" s="21"/>
      <c r="L310" s="21"/>
      <c r="M310" s="16">
        <f t="shared" si="5"/>
        <v>300</v>
      </c>
      <c r="N310" s="21">
        <f t="shared" si="6"/>
        <v>25</v>
      </c>
    </row>
    <row r="311" ht="13.5" customHeight="1">
      <c r="A311" s="2"/>
      <c r="B311" s="19" t="s">
        <v>776</v>
      </c>
      <c r="C311" s="3" t="s">
        <v>537</v>
      </c>
      <c r="D311" s="6">
        <v>1.0</v>
      </c>
      <c r="E311" s="6">
        <v>1.0</v>
      </c>
      <c r="F311" s="6">
        <v>1.0</v>
      </c>
      <c r="G311" s="6">
        <v>1.0</v>
      </c>
      <c r="H311" s="30">
        <v>300.0</v>
      </c>
      <c r="I311" s="21">
        <v>1.0</v>
      </c>
      <c r="J311" s="21"/>
      <c r="K311" s="21"/>
      <c r="L311" s="21"/>
      <c r="M311" s="16">
        <f t="shared" si="5"/>
        <v>300</v>
      </c>
      <c r="N311" s="21">
        <f t="shared" si="6"/>
        <v>25</v>
      </c>
    </row>
    <row r="312" ht="13.5" customHeight="1">
      <c r="A312" s="2"/>
      <c r="B312" s="19" t="s">
        <v>779</v>
      </c>
      <c r="C312" s="3" t="s">
        <v>538</v>
      </c>
      <c r="D312" s="6">
        <v>1.0</v>
      </c>
      <c r="E312" s="6">
        <v>1.0</v>
      </c>
      <c r="F312" s="6">
        <v>1.0</v>
      </c>
      <c r="G312" s="6">
        <v>2.0</v>
      </c>
      <c r="H312" s="30">
        <v>400.0</v>
      </c>
      <c r="I312" s="21">
        <v>1.0</v>
      </c>
      <c r="J312" s="21"/>
      <c r="K312" s="21"/>
      <c r="L312" s="21"/>
      <c r="M312" s="16">
        <f t="shared" si="5"/>
        <v>800</v>
      </c>
      <c r="N312" s="21">
        <f t="shared" si="6"/>
        <v>11</v>
      </c>
    </row>
    <row r="313" ht="13.5" customHeight="1">
      <c r="A313" s="2"/>
      <c r="B313" s="19" t="s">
        <v>783</v>
      </c>
      <c r="C313" s="3" t="s">
        <v>539</v>
      </c>
      <c r="D313" s="6">
        <v>1.0</v>
      </c>
      <c r="E313" s="6">
        <v>1.0</v>
      </c>
      <c r="F313" s="6">
        <v>1.0</v>
      </c>
      <c r="G313" s="6">
        <v>2.0</v>
      </c>
      <c r="H313" s="30">
        <v>400.0</v>
      </c>
      <c r="I313" s="21">
        <v>1.0</v>
      </c>
      <c r="J313" s="21"/>
      <c r="K313" s="21"/>
      <c r="L313" s="21"/>
      <c r="M313" s="16">
        <f t="shared" si="5"/>
        <v>800</v>
      </c>
      <c r="N313" s="21">
        <f t="shared" si="6"/>
        <v>11</v>
      </c>
    </row>
    <row r="314" ht="13.5" customHeight="1">
      <c r="A314" s="2"/>
      <c r="B314" s="19" t="s">
        <v>786</v>
      </c>
      <c r="C314" s="3" t="s">
        <v>542</v>
      </c>
      <c r="D314" s="6">
        <v>1.0</v>
      </c>
      <c r="E314" s="6">
        <v>1.0</v>
      </c>
      <c r="F314" s="6">
        <v>1.0</v>
      </c>
      <c r="G314" s="6">
        <v>2.0</v>
      </c>
      <c r="H314" s="30">
        <v>400.0</v>
      </c>
      <c r="I314" s="21">
        <v>1.0</v>
      </c>
      <c r="J314" s="21"/>
      <c r="K314" s="21"/>
      <c r="L314" s="21">
        <v>150.0</v>
      </c>
      <c r="M314" s="16">
        <f t="shared" si="5"/>
        <v>950</v>
      </c>
      <c r="N314" s="21">
        <f t="shared" si="6"/>
        <v>10</v>
      </c>
    </row>
    <row r="315" ht="13.5" customHeight="1">
      <c r="A315" s="2"/>
      <c r="B315" s="19" t="s">
        <v>787</v>
      </c>
      <c r="C315" s="3" t="s">
        <v>543</v>
      </c>
      <c r="D315" s="6">
        <v>1.0</v>
      </c>
      <c r="E315" s="6">
        <v>1.0</v>
      </c>
      <c r="F315" s="6">
        <v>1.0</v>
      </c>
      <c r="G315" s="6">
        <v>2.0</v>
      </c>
      <c r="H315" s="30">
        <v>400.0</v>
      </c>
      <c r="I315" s="21">
        <v>1.0</v>
      </c>
      <c r="J315" s="21"/>
      <c r="K315" s="21"/>
      <c r="L315" s="21">
        <v>150.0</v>
      </c>
      <c r="M315" s="16">
        <f t="shared" si="5"/>
        <v>950</v>
      </c>
      <c r="N315" s="21">
        <f t="shared" si="6"/>
        <v>10</v>
      </c>
    </row>
    <row r="316" ht="13.5" customHeight="1">
      <c r="A316" s="2"/>
      <c r="B316" s="19" t="s">
        <v>790</v>
      </c>
      <c r="C316" s="3" t="s">
        <v>546</v>
      </c>
      <c r="D316" s="6">
        <v>1.0</v>
      </c>
      <c r="E316" s="6">
        <v>1.0</v>
      </c>
      <c r="F316" s="6">
        <v>1.0</v>
      </c>
      <c r="G316" s="6">
        <v>2.0</v>
      </c>
      <c r="H316" s="30">
        <v>400.0</v>
      </c>
      <c r="I316" s="21">
        <v>1.0</v>
      </c>
      <c r="J316" s="21"/>
      <c r="K316" s="21"/>
      <c r="L316" s="21"/>
      <c r="M316" s="16">
        <f t="shared" si="5"/>
        <v>800</v>
      </c>
      <c r="N316" s="21">
        <f t="shared" si="6"/>
        <v>11</v>
      </c>
    </row>
    <row r="317" ht="13.5" customHeight="1">
      <c r="A317" s="2"/>
      <c r="B317" s="19" t="s">
        <v>792</v>
      </c>
      <c r="C317" s="3" t="s">
        <v>547</v>
      </c>
      <c r="D317" s="6">
        <v>1.0</v>
      </c>
      <c r="E317" s="6">
        <v>1.0</v>
      </c>
      <c r="F317" s="6">
        <v>1.0</v>
      </c>
      <c r="G317" s="6">
        <v>2.0</v>
      </c>
      <c r="H317" s="30">
        <v>400.0</v>
      </c>
      <c r="I317" s="21">
        <v>1.0</v>
      </c>
      <c r="J317" s="21"/>
      <c r="K317" s="21"/>
      <c r="L317" s="21"/>
      <c r="M317" s="16">
        <f t="shared" si="5"/>
        <v>800</v>
      </c>
      <c r="N317" s="21">
        <f t="shared" si="6"/>
        <v>11</v>
      </c>
    </row>
    <row r="318" ht="13.5" customHeight="1">
      <c r="A318" s="2"/>
      <c r="B318" s="19" t="s">
        <v>798</v>
      </c>
      <c r="C318" s="3" t="s">
        <v>550</v>
      </c>
      <c r="D318" s="6">
        <v>1.0</v>
      </c>
      <c r="E318" s="6">
        <v>1.0</v>
      </c>
      <c r="F318" s="6">
        <v>1.0</v>
      </c>
      <c r="G318" s="6">
        <v>3.0</v>
      </c>
      <c r="H318" s="30">
        <v>600.0</v>
      </c>
      <c r="I318" s="21">
        <v>1.0</v>
      </c>
      <c r="J318" s="21"/>
      <c r="K318" s="21"/>
      <c r="L318" s="21"/>
      <c r="M318" s="16">
        <f t="shared" si="5"/>
        <v>1800</v>
      </c>
      <c r="N318" s="21">
        <f t="shared" si="6"/>
        <v>5</v>
      </c>
    </row>
    <row r="319" ht="13.5" customHeight="1">
      <c r="A319" s="2"/>
      <c r="B319" s="19" t="s">
        <v>802</v>
      </c>
      <c r="C319" s="3" t="s">
        <v>551</v>
      </c>
      <c r="D319" s="6">
        <v>1.0</v>
      </c>
      <c r="E319" s="6">
        <v>1.0</v>
      </c>
      <c r="F319" s="6">
        <v>1.0</v>
      </c>
      <c r="G319" s="6">
        <v>1.0</v>
      </c>
      <c r="H319" s="30">
        <v>300.0</v>
      </c>
      <c r="I319" s="21">
        <v>1.0</v>
      </c>
      <c r="J319" s="21"/>
      <c r="K319" s="21"/>
      <c r="L319" s="21"/>
      <c r="M319" s="16">
        <f t="shared" si="5"/>
        <v>300</v>
      </c>
      <c r="N319" s="21">
        <f t="shared" si="6"/>
        <v>25</v>
      </c>
    </row>
    <row r="320" ht="13.5" customHeight="1">
      <c r="A320" s="2"/>
      <c r="B320" s="19" t="s">
        <v>804</v>
      </c>
      <c r="C320" s="3" t="s">
        <v>553</v>
      </c>
      <c r="D320" s="6">
        <v>1.0</v>
      </c>
      <c r="E320" s="6">
        <v>1.0</v>
      </c>
      <c r="F320" s="6">
        <v>1.0</v>
      </c>
      <c r="G320" s="6">
        <v>1.0</v>
      </c>
      <c r="H320" s="30">
        <v>350.0</v>
      </c>
      <c r="I320" s="21">
        <v>1.0</v>
      </c>
      <c r="J320" s="21"/>
      <c r="K320" s="21"/>
      <c r="L320" s="21"/>
      <c r="M320" s="16">
        <f t="shared" si="5"/>
        <v>350</v>
      </c>
      <c r="N320" s="21">
        <f t="shared" si="6"/>
        <v>22</v>
      </c>
    </row>
    <row r="321" ht="13.5" customHeight="1">
      <c r="A321" s="2"/>
      <c r="B321" s="19" t="s">
        <v>809</v>
      </c>
      <c r="C321" s="3" t="s">
        <v>554</v>
      </c>
      <c r="D321" s="6">
        <v>1.0</v>
      </c>
      <c r="E321" s="6">
        <v>1.0</v>
      </c>
      <c r="F321" s="6">
        <v>1.0</v>
      </c>
      <c r="G321" s="6">
        <v>1.0</v>
      </c>
      <c r="H321" s="30">
        <v>350.0</v>
      </c>
      <c r="I321" s="21">
        <v>1.0</v>
      </c>
      <c r="J321" s="21"/>
      <c r="K321" s="21"/>
      <c r="L321" s="21">
        <v>150.0</v>
      </c>
      <c r="M321" s="16">
        <f t="shared" si="5"/>
        <v>500</v>
      </c>
      <c r="N321" s="21">
        <f t="shared" si="6"/>
        <v>17</v>
      </c>
    </row>
    <row r="322" ht="13.5" customHeight="1">
      <c r="A322" s="2"/>
      <c r="B322" s="19" t="s">
        <v>813</v>
      </c>
      <c r="C322" s="3" t="s">
        <v>815</v>
      </c>
      <c r="D322" s="6">
        <v>1.0</v>
      </c>
      <c r="E322" s="6">
        <v>1.0</v>
      </c>
      <c r="F322" s="6">
        <v>1.0</v>
      </c>
      <c r="G322" s="6">
        <v>2.0</v>
      </c>
      <c r="H322" s="21">
        <v>400.0</v>
      </c>
      <c r="I322" s="21">
        <v>1.0</v>
      </c>
      <c r="J322" s="21"/>
      <c r="K322" s="21"/>
      <c r="L322" s="21"/>
      <c r="M322" s="16">
        <f t="shared" si="5"/>
        <v>800</v>
      </c>
      <c r="N322" s="21">
        <f t="shared" si="6"/>
        <v>11</v>
      </c>
    </row>
    <row r="323" ht="13.5" customHeight="1">
      <c r="A323" s="2"/>
      <c r="B323" s="19" t="s">
        <v>821</v>
      </c>
      <c r="C323" s="3" t="s">
        <v>823</v>
      </c>
      <c r="D323" s="6">
        <v>1.0</v>
      </c>
      <c r="E323" s="6">
        <v>1.0</v>
      </c>
      <c r="F323" s="6">
        <v>1.0</v>
      </c>
      <c r="G323" s="6">
        <v>2.0</v>
      </c>
      <c r="H323" s="21">
        <v>400.0</v>
      </c>
      <c r="I323" s="21">
        <v>1.0</v>
      </c>
      <c r="J323" s="21"/>
      <c r="K323" s="21">
        <v>100.0</v>
      </c>
      <c r="L323" s="21"/>
      <c r="M323" s="16">
        <f t="shared" si="5"/>
        <v>900</v>
      </c>
      <c r="N323" s="21">
        <f t="shared" si="6"/>
        <v>10</v>
      </c>
    </row>
    <row r="324" ht="13.5" customHeight="1">
      <c r="A324" s="2"/>
      <c r="B324" s="19" t="s">
        <v>825</v>
      </c>
      <c r="C324" s="3" t="s">
        <v>826</v>
      </c>
      <c r="D324" s="6">
        <v>1.0</v>
      </c>
      <c r="E324" s="6">
        <v>1.0</v>
      </c>
      <c r="F324" s="6">
        <v>1.0</v>
      </c>
      <c r="G324">
        <v>1.0</v>
      </c>
      <c r="H324" s="21">
        <v>250.0</v>
      </c>
      <c r="I324" s="21">
        <v>1.0</v>
      </c>
      <c r="J324" s="21"/>
      <c r="K324" s="21"/>
      <c r="L324" s="21"/>
      <c r="M324" s="16">
        <f t="shared" si="5"/>
        <v>250</v>
      </c>
      <c r="N324" s="21">
        <f t="shared" si="6"/>
        <v>29</v>
      </c>
    </row>
    <row r="325" ht="13.5" customHeight="1">
      <c r="A325" s="2"/>
      <c r="B325" s="19" t="s">
        <v>829</v>
      </c>
      <c r="C325" s="3" t="s">
        <v>830</v>
      </c>
      <c r="D325" s="6">
        <v>1.0</v>
      </c>
      <c r="E325" s="6">
        <v>1.0</v>
      </c>
      <c r="F325" s="6">
        <v>1.0</v>
      </c>
      <c r="G325">
        <v>1.0</v>
      </c>
      <c r="H325" s="21">
        <v>250.0</v>
      </c>
      <c r="I325" s="21">
        <v>1.0</v>
      </c>
      <c r="J325" s="21"/>
      <c r="K325" s="21"/>
      <c r="L325" s="21"/>
      <c r="M325" s="16">
        <f t="shared" si="5"/>
        <v>250</v>
      </c>
      <c r="N325" s="21">
        <f t="shared" si="6"/>
        <v>29</v>
      </c>
    </row>
    <row r="326" ht="13.5" customHeight="1">
      <c r="A326" s="2"/>
      <c r="B326" s="19" t="s">
        <v>835</v>
      </c>
      <c r="C326" s="3" t="s">
        <v>836</v>
      </c>
      <c r="D326" s="6">
        <v>1.0</v>
      </c>
      <c r="E326" s="6">
        <v>1.0</v>
      </c>
      <c r="F326" s="6">
        <v>1.0</v>
      </c>
      <c r="G326" s="6">
        <v>1.0</v>
      </c>
      <c r="H326" s="21">
        <v>250.0</v>
      </c>
      <c r="I326" s="21">
        <v>1.0</v>
      </c>
      <c r="J326" s="21"/>
      <c r="K326" s="21">
        <v>100.0</v>
      </c>
      <c r="L326" s="21"/>
      <c r="M326" s="16">
        <f t="shared" si="5"/>
        <v>350</v>
      </c>
      <c r="N326" s="21">
        <f t="shared" si="6"/>
        <v>22</v>
      </c>
    </row>
    <row r="327" ht="13.5" customHeight="1">
      <c r="A327" s="2"/>
      <c r="B327" s="19" t="s">
        <v>840</v>
      </c>
      <c r="C327" s="3" t="s">
        <v>841</v>
      </c>
      <c r="D327" s="6">
        <v>1.0</v>
      </c>
      <c r="E327" s="6">
        <v>1.0</v>
      </c>
      <c r="F327" s="6">
        <v>1.0</v>
      </c>
      <c r="G327" s="6">
        <v>1.0</v>
      </c>
      <c r="H327" s="21">
        <v>250.0</v>
      </c>
      <c r="I327" s="21">
        <v>1.0</v>
      </c>
      <c r="J327" s="21"/>
      <c r="K327" s="21"/>
      <c r="L327" s="21">
        <v>150.0</v>
      </c>
      <c r="M327" s="16">
        <f t="shared" si="5"/>
        <v>400</v>
      </c>
      <c r="N327" s="21">
        <f t="shared" si="6"/>
        <v>20</v>
      </c>
    </row>
    <row r="328" ht="13.5" customHeight="1">
      <c r="A328" s="2"/>
      <c r="B328" s="19" t="s">
        <v>846</v>
      </c>
      <c r="C328" s="3" t="s">
        <v>847</v>
      </c>
      <c r="D328" s="6">
        <v>1.0</v>
      </c>
      <c r="E328" s="6">
        <v>1.0</v>
      </c>
      <c r="F328" s="6">
        <v>1.0</v>
      </c>
      <c r="G328" s="6">
        <v>1.0</v>
      </c>
      <c r="H328" s="21">
        <v>250.0</v>
      </c>
      <c r="I328" s="21">
        <v>1.0</v>
      </c>
      <c r="J328" s="21"/>
      <c r="K328" s="21"/>
      <c r="L328" s="21">
        <v>150.0</v>
      </c>
      <c r="M328" s="16">
        <f t="shared" si="5"/>
        <v>400</v>
      </c>
      <c r="N328" s="21">
        <f t="shared" si="6"/>
        <v>20</v>
      </c>
    </row>
    <row r="329" ht="13.5" customHeight="1">
      <c r="A329" s="2"/>
      <c r="B329" s="19" t="s">
        <v>852</v>
      </c>
      <c r="C329" s="3" t="s">
        <v>853</v>
      </c>
      <c r="D329" s="6">
        <v>1.0</v>
      </c>
      <c r="E329" s="6">
        <v>1.0</v>
      </c>
      <c r="F329" s="6">
        <v>1.0</v>
      </c>
      <c r="G329" s="6">
        <v>1.0</v>
      </c>
      <c r="H329" s="21">
        <v>250.0</v>
      </c>
      <c r="I329" s="21">
        <v>1.0</v>
      </c>
      <c r="J329" s="21"/>
      <c r="K329" s="21">
        <v>100.0</v>
      </c>
      <c r="L329" s="21">
        <v>150.0</v>
      </c>
      <c r="M329" s="16">
        <f t="shared" si="5"/>
        <v>500</v>
      </c>
      <c r="N329" s="21">
        <f t="shared" si="6"/>
        <v>17</v>
      </c>
    </row>
    <row r="330" ht="13.5" customHeight="1">
      <c r="A330" s="2"/>
      <c r="B330" s="19" t="s">
        <v>855</v>
      </c>
      <c r="C330" s="3" t="s">
        <v>856</v>
      </c>
      <c r="D330" s="6">
        <v>1.0</v>
      </c>
      <c r="E330" s="6">
        <v>1.0</v>
      </c>
      <c r="F330" s="6">
        <v>1.0</v>
      </c>
      <c r="G330">
        <v>1.0</v>
      </c>
      <c r="H330" s="21">
        <v>250.0</v>
      </c>
      <c r="I330" s="21">
        <v>1.0</v>
      </c>
      <c r="J330" s="21"/>
      <c r="K330" s="21"/>
      <c r="L330" s="21"/>
      <c r="M330" s="16">
        <f t="shared" si="5"/>
        <v>250</v>
      </c>
      <c r="N330" s="21">
        <f t="shared" si="6"/>
        <v>29</v>
      </c>
    </row>
    <row r="331" ht="13.5" customHeight="1">
      <c r="A331" s="2"/>
      <c r="B331" s="19" t="s">
        <v>859</v>
      </c>
      <c r="C331" s="3" t="s">
        <v>860</v>
      </c>
      <c r="D331" s="6">
        <v>1.0</v>
      </c>
      <c r="E331" s="6">
        <v>1.0</v>
      </c>
      <c r="F331" s="6">
        <v>1.0</v>
      </c>
      <c r="G331">
        <v>1.0</v>
      </c>
      <c r="H331" s="21">
        <v>250.0</v>
      </c>
      <c r="I331" s="21">
        <v>1.0</v>
      </c>
      <c r="J331" s="21"/>
      <c r="K331" s="21"/>
      <c r="L331" s="21"/>
      <c r="M331" s="16">
        <f t="shared" si="5"/>
        <v>250</v>
      </c>
      <c r="N331" s="21">
        <f t="shared" si="6"/>
        <v>29</v>
      </c>
    </row>
    <row r="332" ht="13.5" customHeight="1">
      <c r="A332" s="2"/>
      <c r="B332" s="19" t="s">
        <v>867</v>
      </c>
      <c r="C332" s="3" t="s">
        <v>868</v>
      </c>
      <c r="D332" s="6">
        <v>1.0</v>
      </c>
      <c r="E332" s="6">
        <v>1.0</v>
      </c>
      <c r="F332" s="6">
        <v>1.0</v>
      </c>
      <c r="G332" s="6">
        <v>1.0</v>
      </c>
      <c r="H332" s="21">
        <v>250.0</v>
      </c>
      <c r="I332" s="21">
        <v>1.0</v>
      </c>
      <c r="J332" s="21"/>
      <c r="K332" s="21">
        <v>100.0</v>
      </c>
      <c r="L332" s="21"/>
      <c r="M332" s="16">
        <f t="shared" si="5"/>
        <v>350</v>
      </c>
      <c r="N332" s="21">
        <f t="shared" si="6"/>
        <v>22</v>
      </c>
    </row>
    <row r="333" ht="13.5" customHeight="1">
      <c r="A333" s="2"/>
      <c r="B333" s="19" t="s">
        <v>874</v>
      </c>
      <c r="C333" s="3" t="s">
        <v>876</v>
      </c>
      <c r="D333" s="6">
        <v>1.0</v>
      </c>
      <c r="E333" s="6">
        <v>1.0</v>
      </c>
      <c r="F333" s="6">
        <v>1.0</v>
      </c>
      <c r="G333">
        <v>1.0</v>
      </c>
      <c r="H333" s="21">
        <v>250.0</v>
      </c>
      <c r="I333" s="21">
        <v>1.0</v>
      </c>
      <c r="J333" s="21"/>
      <c r="K333" s="21"/>
      <c r="L333" s="21"/>
      <c r="M333" s="16">
        <f t="shared" si="5"/>
        <v>250</v>
      </c>
      <c r="N333" s="21">
        <f t="shared" si="6"/>
        <v>29</v>
      </c>
    </row>
    <row r="334" ht="13.5" customHeight="1">
      <c r="A334" s="2"/>
      <c r="B334" s="19" t="s">
        <v>880</v>
      </c>
      <c r="C334" s="3" t="s">
        <v>881</v>
      </c>
      <c r="D334" s="6">
        <v>1.0</v>
      </c>
      <c r="E334" s="6">
        <v>1.0</v>
      </c>
      <c r="F334" s="6">
        <v>1.0</v>
      </c>
      <c r="G334">
        <v>1.0</v>
      </c>
      <c r="H334" s="21">
        <v>250.0</v>
      </c>
      <c r="I334" s="21">
        <v>1.0</v>
      </c>
      <c r="J334" s="21"/>
      <c r="K334" s="21"/>
      <c r="L334" s="21"/>
      <c r="M334" s="16">
        <f t="shared" si="5"/>
        <v>250</v>
      </c>
      <c r="N334" s="21">
        <f t="shared" si="6"/>
        <v>29</v>
      </c>
    </row>
    <row r="335" ht="13.5" customHeight="1">
      <c r="A335" s="2"/>
      <c r="B335" s="19" t="s">
        <v>885</v>
      </c>
      <c r="C335" s="3" t="s">
        <v>886</v>
      </c>
      <c r="D335" s="6">
        <v>1.0</v>
      </c>
      <c r="E335" s="6">
        <v>1.0</v>
      </c>
      <c r="F335" s="6">
        <v>1.0</v>
      </c>
      <c r="G335" s="6">
        <v>1.0</v>
      </c>
      <c r="H335" s="21">
        <v>250.0</v>
      </c>
      <c r="I335" s="21">
        <v>1.0</v>
      </c>
      <c r="J335" s="21"/>
      <c r="K335" s="21">
        <v>100.0</v>
      </c>
      <c r="L335" s="21"/>
      <c r="M335" s="16">
        <f t="shared" si="5"/>
        <v>350</v>
      </c>
      <c r="N335" s="21">
        <f t="shared" si="6"/>
        <v>22</v>
      </c>
    </row>
    <row r="336" ht="13.5" customHeight="1">
      <c r="A336" s="2"/>
      <c r="B336" s="19" t="s">
        <v>887</v>
      </c>
      <c r="C336" s="3" t="s">
        <v>888</v>
      </c>
      <c r="D336" s="6">
        <v>1.0</v>
      </c>
      <c r="E336" s="6">
        <v>1.0</v>
      </c>
      <c r="F336" s="6">
        <v>1.0</v>
      </c>
      <c r="G336" s="6">
        <v>2.0</v>
      </c>
      <c r="H336" s="21">
        <v>300.0</v>
      </c>
      <c r="I336" s="21">
        <v>1.0</v>
      </c>
      <c r="J336" s="21"/>
      <c r="K336" s="21"/>
      <c r="L336" s="21"/>
      <c r="M336" s="16">
        <f t="shared" si="5"/>
        <v>600</v>
      </c>
      <c r="N336" s="21">
        <f t="shared" si="6"/>
        <v>14</v>
      </c>
    </row>
    <row r="337" ht="13.5" customHeight="1">
      <c r="A337" s="2"/>
      <c r="B337" s="19" t="s">
        <v>889</v>
      </c>
      <c r="C337" s="3" t="s">
        <v>890</v>
      </c>
      <c r="D337" s="6">
        <v>1.0</v>
      </c>
      <c r="E337" s="6">
        <v>1.0</v>
      </c>
      <c r="F337" s="6">
        <v>1.0</v>
      </c>
      <c r="G337" s="6">
        <v>2.0</v>
      </c>
      <c r="H337" s="21">
        <v>300.0</v>
      </c>
      <c r="I337" s="21">
        <v>1.0</v>
      </c>
      <c r="J337" s="21"/>
      <c r="K337" s="21"/>
      <c r="L337" s="21"/>
      <c r="M337" s="16">
        <f t="shared" si="5"/>
        <v>600</v>
      </c>
      <c r="N337" s="21">
        <f t="shared" si="6"/>
        <v>14</v>
      </c>
    </row>
    <row r="338" ht="13.5" customHeight="1">
      <c r="A338" s="2"/>
      <c r="B338" s="19" t="s">
        <v>894</v>
      </c>
      <c r="C338" s="3" t="s">
        <v>895</v>
      </c>
      <c r="D338" s="6">
        <v>1.0</v>
      </c>
      <c r="E338" s="6">
        <v>1.0</v>
      </c>
      <c r="F338" s="6">
        <v>1.0</v>
      </c>
      <c r="G338" s="6">
        <v>2.0</v>
      </c>
      <c r="H338" s="21">
        <v>300.0</v>
      </c>
      <c r="I338" s="21">
        <v>1.0</v>
      </c>
      <c r="J338" s="21"/>
      <c r="K338" s="21"/>
      <c r="L338" s="21">
        <v>150.0</v>
      </c>
      <c r="M338" s="16">
        <f t="shared" si="5"/>
        <v>750</v>
      </c>
      <c r="N338" s="21">
        <f t="shared" si="6"/>
        <v>12</v>
      </c>
    </row>
    <row r="339" ht="13.5" customHeight="1">
      <c r="A339" s="2"/>
      <c r="B339" s="19" t="s">
        <v>899</v>
      </c>
      <c r="C339" s="3" t="s">
        <v>901</v>
      </c>
      <c r="D339" s="6">
        <v>1.0</v>
      </c>
      <c r="E339" s="6">
        <v>1.0</v>
      </c>
      <c r="F339" s="6">
        <v>1.0</v>
      </c>
      <c r="G339" s="6">
        <v>2.0</v>
      </c>
      <c r="H339" s="21">
        <v>300.0</v>
      </c>
      <c r="I339" s="21">
        <v>1.0</v>
      </c>
      <c r="J339" s="21"/>
      <c r="K339" s="21"/>
      <c r="L339" s="21">
        <v>150.0</v>
      </c>
      <c r="M339" s="16">
        <f t="shared" si="5"/>
        <v>750</v>
      </c>
      <c r="N339" s="21">
        <f t="shared" si="6"/>
        <v>12</v>
      </c>
    </row>
    <row r="340" ht="13.5" customHeight="1">
      <c r="A340" s="2"/>
      <c r="B340" s="19" t="s">
        <v>905</v>
      </c>
      <c r="C340" s="3" t="s">
        <v>906</v>
      </c>
      <c r="D340" s="6">
        <v>1.0</v>
      </c>
      <c r="E340" s="6">
        <v>1.0</v>
      </c>
      <c r="F340" s="6">
        <v>1.0</v>
      </c>
      <c r="G340">
        <v>1.0</v>
      </c>
      <c r="H340" s="21">
        <v>400.0</v>
      </c>
      <c r="I340" s="21">
        <v>1.0</v>
      </c>
      <c r="J340" s="21"/>
      <c r="K340" s="21"/>
      <c r="L340" s="21"/>
      <c r="M340" s="16">
        <f t="shared" si="5"/>
        <v>400</v>
      </c>
      <c r="N340" s="21">
        <f t="shared" si="6"/>
        <v>20</v>
      </c>
    </row>
    <row r="341" ht="13.5" customHeight="1">
      <c r="A341" s="2"/>
      <c r="B341" s="19" t="s">
        <v>910</v>
      </c>
      <c r="C341" s="3" t="s">
        <v>911</v>
      </c>
      <c r="D341" s="6">
        <v>1.0</v>
      </c>
      <c r="E341" s="6">
        <v>1.0</v>
      </c>
      <c r="F341" s="6">
        <v>1.0</v>
      </c>
      <c r="G341">
        <v>1.0</v>
      </c>
      <c r="H341" s="21">
        <v>400.0</v>
      </c>
      <c r="I341" s="21">
        <v>1.0</v>
      </c>
      <c r="J341" s="21"/>
      <c r="K341" s="21"/>
      <c r="L341" s="21"/>
      <c r="M341" s="16">
        <f t="shared" si="5"/>
        <v>400</v>
      </c>
      <c r="N341" s="21">
        <f t="shared" si="6"/>
        <v>20</v>
      </c>
    </row>
    <row r="342" ht="13.5" customHeight="1">
      <c r="A342" s="2"/>
      <c r="B342" s="19" t="s">
        <v>914</v>
      </c>
      <c r="C342" s="3" t="s">
        <v>916</v>
      </c>
      <c r="D342" s="6">
        <v>1.0</v>
      </c>
      <c r="E342" s="6">
        <v>1.0</v>
      </c>
      <c r="F342" s="6">
        <v>1.0</v>
      </c>
      <c r="G342">
        <v>1.0</v>
      </c>
      <c r="H342" s="21">
        <v>400.0</v>
      </c>
      <c r="I342" s="21">
        <v>1.0</v>
      </c>
      <c r="J342" s="21"/>
      <c r="K342" s="21"/>
      <c r="L342" s="21"/>
      <c r="M342" s="16">
        <f t="shared" si="5"/>
        <v>400</v>
      </c>
      <c r="N342" s="21">
        <f t="shared" si="6"/>
        <v>20</v>
      </c>
    </row>
    <row r="343" ht="13.5" customHeight="1">
      <c r="A343" s="2"/>
      <c r="B343" s="19" t="s">
        <v>919</v>
      </c>
      <c r="C343" s="3" t="s">
        <v>921</v>
      </c>
      <c r="D343" s="6">
        <v>1.0</v>
      </c>
      <c r="E343" s="6">
        <v>1.0</v>
      </c>
      <c r="F343" s="6">
        <v>1.0</v>
      </c>
      <c r="G343">
        <v>1.0</v>
      </c>
      <c r="H343" s="21">
        <v>400.0</v>
      </c>
      <c r="I343" s="21">
        <v>1.0</v>
      </c>
      <c r="J343" s="21"/>
      <c r="K343" s="21">
        <v>100.0</v>
      </c>
      <c r="L343" s="21"/>
      <c r="M343" s="16">
        <f t="shared" si="5"/>
        <v>500</v>
      </c>
      <c r="N343" s="21">
        <f t="shared" si="6"/>
        <v>17</v>
      </c>
    </row>
    <row r="344" ht="13.5" customHeight="1">
      <c r="A344" s="2"/>
      <c r="B344" s="19" t="s">
        <v>924</v>
      </c>
      <c r="C344" s="3" t="s">
        <v>925</v>
      </c>
      <c r="D344" s="6">
        <v>1.0</v>
      </c>
      <c r="E344" s="6">
        <v>1.0</v>
      </c>
      <c r="F344" s="6">
        <v>1.0</v>
      </c>
      <c r="G344">
        <v>1.0</v>
      </c>
      <c r="H344" s="21">
        <v>400.0</v>
      </c>
      <c r="I344" s="21">
        <v>1.0</v>
      </c>
      <c r="J344" s="21"/>
      <c r="K344" s="21">
        <v>100.0</v>
      </c>
      <c r="L344" s="21"/>
      <c r="M344" s="16">
        <f t="shared" si="5"/>
        <v>500</v>
      </c>
      <c r="N344" s="21">
        <f t="shared" si="6"/>
        <v>17</v>
      </c>
    </row>
    <row r="345" ht="13.5" customHeight="1">
      <c r="A345" s="2"/>
      <c r="B345" s="19" t="s">
        <v>930</v>
      </c>
      <c r="C345" s="3" t="s">
        <v>931</v>
      </c>
      <c r="D345" s="6">
        <v>1.0</v>
      </c>
      <c r="E345" s="6">
        <v>1.0</v>
      </c>
      <c r="F345" s="6">
        <v>1.0</v>
      </c>
      <c r="G345" s="6">
        <v>1.0</v>
      </c>
      <c r="H345" s="21">
        <v>400.0</v>
      </c>
      <c r="I345" s="21">
        <v>1.0</v>
      </c>
      <c r="J345" s="21"/>
      <c r="K345" s="21"/>
      <c r="L345" s="21">
        <v>150.0</v>
      </c>
      <c r="M345" s="16">
        <f t="shared" si="5"/>
        <v>550</v>
      </c>
      <c r="N345" s="21">
        <f t="shared" si="6"/>
        <v>15</v>
      </c>
    </row>
    <row r="346" ht="13.5" customHeight="1">
      <c r="A346" s="2"/>
      <c r="B346" s="19" t="s">
        <v>936</v>
      </c>
      <c r="C346" s="3" t="s">
        <v>937</v>
      </c>
      <c r="D346" s="6">
        <v>1.0</v>
      </c>
      <c r="E346" s="6">
        <v>1.0</v>
      </c>
      <c r="F346" s="6">
        <v>1.0</v>
      </c>
      <c r="G346" s="6">
        <v>1.0</v>
      </c>
      <c r="H346" s="21">
        <v>400.0</v>
      </c>
      <c r="I346" s="21">
        <v>1.0</v>
      </c>
      <c r="J346" s="21"/>
      <c r="K346" s="21"/>
      <c r="L346" s="21">
        <v>150.0</v>
      </c>
      <c r="M346" s="16">
        <f t="shared" si="5"/>
        <v>550</v>
      </c>
      <c r="N346" s="21">
        <f t="shared" si="6"/>
        <v>15</v>
      </c>
    </row>
    <row r="347" ht="13.5" customHeight="1">
      <c r="A347" s="2"/>
      <c r="B347" s="19" t="s">
        <v>941</v>
      </c>
      <c r="C347" s="3" t="s">
        <v>943</v>
      </c>
      <c r="D347" s="6">
        <v>1.0</v>
      </c>
      <c r="E347" s="6">
        <v>1.0</v>
      </c>
      <c r="F347" s="6">
        <v>1.0</v>
      </c>
      <c r="G347" s="6">
        <v>2.0</v>
      </c>
      <c r="H347" s="21">
        <v>450.0</v>
      </c>
      <c r="I347" s="21">
        <v>1.0</v>
      </c>
      <c r="J347" s="21"/>
      <c r="K347" s="21"/>
      <c r="L347" s="21"/>
      <c r="M347" s="16">
        <f t="shared" si="5"/>
        <v>900</v>
      </c>
      <c r="N347" s="21">
        <f t="shared" si="6"/>
        <v>10</v>
      </c>
    </row>
    <row r="348" ht="13.5" customHeight="1">
      <c r="A348" s="2"/>
      <c r="B348" s="19" t="s">
        <v>948</v>
      </c>
      <c r="C348" s="3" t="s">
        <v>949</v>
      </c>
      <c r="D348" s="6">
        <v>1.0</v>
      </c>
      <c r="E348" s="6">
        <v>1.0</v>
      </c>
      <c r="F348" s="6">
        <v>1.0</v>
      </c>
      <c r="G348" s="6">
        <v>2.0</v>
      </c>
      <c r="H348" s="21">
        <v>450.0</v>
      </c>
      <c r="I348" s="21">
        <v>1.0</v>
      </c>
      <c r="J348" s="21"/>
      <c r="K348" s="21">
        <v>100.0</v>
      </c>
      <c r="L348" s="21"/>
      <c r="M348" s="16">
        <f t="shared" si="5"/>
        <v>1000</v>
      </c>
      <c r="N348" s="21">
        <f t="shared" si="6"/>
        <v>9</v>
      </c>
    </row>
    <row r="349" ht="13.5" customHeight="1">
      <c r="A349" s="2"/>
      <c r="B349" s="19" t="s">
        <v>950</v>
      </c>
      <c r="C349" s="3" t="s">
        <v>951</v>
      </c>
      <c r="D349" s="6">
        <v>1.0</v>
      </c>
      <c r="E349" s="6">
        <v>1.0</v>
      </c>
      <c r="F349" s="6">
        <v>1.0</v>
      </c>
      <c r="G349" s="6">
        <v>2.0</v>
      </c>
      <c r="H349" s="21">
        <v>450.0</v>
      </c>
      <c r="I349" s="21">
        <v>1.0</v>
      </c>
      <c r="J349" s="21"/>
      <c r="K349" s="21">
        <v>100.0</v>
      </c>
      <c r="L349" s="21"/>
      <c r="M349" s="16">
        <f t="shared" si="5"/>
        <v>1000</v>
      </c>
      <c r="N349" s="21">
        <f t="shared" si="6"/>
        <v>9</v>
      </c>
    </row>
    <row r="350" ht="13.5" customHeight="1">
      <c r="A350" s="2"/>
      <c r="B350" s="19" t="s">
        <v>952</v>
      </c>
      <c r="C350" s="3" t="s">
        <v>953</v>
      </c>
      <c r="D350" s="6">
        <v>1.0</v>
      </c>
      <c r="E350" s="6">
        <v>1.0</v>
      </c>
      <c r="F350" s="6">
        <v>1.0</v>
      </c>
      <c r="G350" s="6">
        <v>2.0</v>
      </c>
      <c r="H350" s="21">
        <v>450.0</v>
      </c>
      <c r="I350" s="21">
        <v>1.0</v>
      </c>
      <c r="J350" s="21"/>
      <c r="K350" s="21"/>
      <c r="L350" s="21">
        <v>150.0</v>
      </c>
      <c r="M350" s="16">
        <f t="shared" si="5"/>
        <v>1050</v>
      </c>
      <c r="N350" s="21">
        <f t="shared" si="6"/>
        <v>9</v>
      </c>
    </row>
    <row r="351" ht="13.5" customHeight="1">
      <c r="A351" s="2"/>
      <c r="B351" s="19" t="s">
        <v>954</v>
      </c>
      <c r="C351" s="3" t="s">
        <v>955</v>
      </c>
      <c r="D351" s="6">
        <v>1.0</v>
      </c>
      <c r="E351" s="6">
        <v>1.0</v>
      </c>
      <c r="F351" s="6">
        <v>1.0</v>
      </c>
      <c r="G351" s="6">
        <v>2.0</v>
      </c>
      <c r="H351" s="21">
        <v>450.0</v>
      </c>
      <c r="I351" s="21">
        <v>1.0</v>
      </c>
      <c r="J351" s="21"/>
      <c r="K351" s="21"/>
      <c r="L351" s="21">
        <v>150.0</v>
      </c>
      <c r="M351" s="16">
        <f t="shared" si="5"/>
        <v>1050</v>
      </c>
      <c r="N351" s="21">
        <f t="shared" si="6"/>
        <v>9</v>
      </c>
    </row>
    <row r="352" ht="13.5" customHeight="1">
      <c r="A352" s="2"/>
      <c r="B352" s="19" t="s">
        <v>956</v>
      </c>
      <c r="C352" s="3" t="s">
        <v>957</v>
      </c>
      <c r="D352" s="6">
        <v>1.0</v>
      </c>
      <c r="E352" s="6">
        <v>1.0</v>
      </c>
      <c r="F352" s="6">
        <v>1.0</v>
      </c>
      <c r="G352" s="6">
        <v>2.0</v>
      </c>
      <c r="H352" s="21">
        <v>500.0</v>
      </c>
      <c r="I352" s="21">
        <v>1.0</v>
      </c>
      <c r="J352" s="21"/>
      <c r="K352" s="21"/>
      <c r="L352" s="21"/>
      <c r="M352" s="16">
        <f t="shared" si="5"/>
        <v>1000</v>
      </c>
      <c r="N352" s="21">
        <f t="shared" si="6"/>
        <v>9</v>
      </c>
    </row>
    <row r="353" ht="13.5" customHeight="1">
      <c r="A353" s="2"/>
      <c r="B353" s="19" t="s">
        <v>958</v>
      </c>
      <c r="C353" s="3" t="s">
        <v>959</v>
      </c>
      <c r="D353" s="6">
        <v>1.0</v>
      </c>
      <c r="E353" s="6">
        <v>1.0</v>
      </c>
      <c r="F353" s="6">
        <v>1.0</v>
      </c>
      <c r="G353" s="6">
        <v>2.0</v>
      </c>
      <c r="H353" s="21">
        <v>500.0</v>
      </c>
      <c r="I353" s="21">
        <v>1.0</v>
      </c>
      <c r="J353" s="21"/>
      <c r="K353" s="21">
        <v>100.0</v>
      </c>
      <c r="L353" s="21"/>
      <c r="M353" s="16">
        <f t="shared" si="5"/>
        <v>1100</v>
      </c>
      <c r="N353" s="21">
        <f t="shared" si="6"/>
        <v>8</v>
      </c>
    </row>
    <row r="354" ht="13.5" customHeight="1">
      <c r="A354" s="2"/>
      <c r="B354" s="19" t="s">
        <v>960</v>
      </c>
      <c r="C354" s="3" t="s">
        <v>961</v>
      </c>
      <c r="D354" s="6">
        <v>1.0</v>
      </c>
      <c r="E354" s="6">
        <v>1.0</v>
      </c>
      <c r="F354" s="6">
        <v>1.0</v>
      </c>
      <c r="G354" s="6">
        <v>2.0</v>
      </c>
      <c r="H354" s="21">
        <v>500.0</v>
      </c>
      <c r="I354" s="21">
        <v>1.0</v>
      </c>
      <c r="J354" s="21"/>
      <c r="K354" s="21">
        <v>100.0</v>
      </c>
      <c r="L354" s="21"/>
      <c r="M354" s="16">
        <f t="shared" si="5"/>
        <v>1100</v>
      </c>
      <c r="N354" s="21">
        <f t="shared" si="6"/>
        <v>8</v>
      </c>
    </row>
    <row r="355" ht="13.5" customHeight="1">
      <c r="A355" s="2"/>
      <c r="B355" s="19" t="s">
        <v>962</v>
      </c>
      <c r="C355" s="3" t="s">
        <v>963</v>
      </c>
      <c r="D355" s="6">
        <v>1.0</v>
      </c>
      <c r="E355" s="6">
        <v>1.0</v>
      </c>
      <c r="F355" s="6">
        <v>1.0</v>
      </c>
      <c r="G355" s="6">
        <v>2.0</v>
      </c>
      <c r="H355" s="21">
        <v>500.0</v>
      </c>
      <c r="I355" s="21">
        <v>1.0</v>
      </c>
      <c r="J355" s="21"/>
      <c r="K355" s="21"/>
      <c r="L355" s="21"/>
      <c r="M355" s="16">
        <f t="shared" si="5"/>
        <v>1000</v>
      </c>
      <c r="N355" s="21">
        <f t="shared" si="6"/>
        <v>9</v>
      </c>
    </row>
    <row r="356" ht="13.5" customHeight="1">
      <c r="A356" s="2"/>
      <c r="B356" s="19" t="s">
        <v>952</v>
      </c>
      <c r="C356" s="3" t="s">
        <v>964</v>
      </c>
      <c r="D356" s="6">
        <v>1.0</v>
      </c>
      <c r="E356" s="6">
        <v>1.0</v>
      </c>
      <c r="F356" s="6">
        <v>1.0</v>
      </c>
      <c r="G356" s="6">
        <v>2.0</v>
      </c>
      <c r="H356" s="21">
        <v>500.0</v>
      </c>
      <c r="I356" s="21">
        <v>1.0</v>
      </c>
      <c r="J356" s="21"/>
      <c r="K356" s="21"/>
      <c r="L356" s="21">
        <v>150.0</v>
      </c>
      <c r="M356" s="16">
        <f t="shared" si="5"/>
        <v>1150</v>
      </c>
      <c r="N356" s="21">
        <f t="shared" si="6"/>
        <v>8</v>
      </c>
    </row>
    <row r="357" ht="13.5" customHeight="1">
      <c r="A357" s="2"/>
      <c r="B357" s="19" t="s">
        <v>965</v>
      </c>
      <c r="C357" s="3" t="s">
        <v>966</v>
      </c>
      <c r="D357" s="6">
        <v>1.0</v>
      </c>
      <c r="E357" s="6">
        <v>1.0</v>
      </c>
      <c r="F357" s="6">
        <v>1.0</v>
      </c>
      <c r="G357" s="6">
        <v>2.0</v>
      </c>
      <c r="H357" s="21">
        <v>450.0</v>
      </c>
      <c r="I357" s="21">
        <v>1.0</v>
      </c>
      <c r="J357" s="21"/>
      <c r="K357" s="21"/>
      <c r="L357" s="21"/>
      <c r="M357" s="16">
        <f t="shared" si="5"/>
        <v>900</v>
      </c>
      <c r="N357" s="21">
        <f t="shared" si="6"/>
        <v>10</v>
      </c>
    </row>
    <row r="358" ht="13.5" customHeight="1">
      <c r="A358" s="2"/>
      <c r="B358" s="19" t="s">
        <v>968</v>
      </c>
      <c r="C358" s="3" t="s">
        <v>969</v>
      </c>
      <c r="D358" s="6">
        <v>1.0</v>
      </c>
      <c r="E358" s="6">
        <v>1.0</v>
      </c>
      <c r="F358" s="6">
        <v>1.0</v>
      </c>
      <c r="G358" s="6">
        <v>2.0</v>
      </c>
      <c r="H358" s="21">
        <v>450.0</v>
      </c>
      <c r="I358" s="21">
        <v>1.0</v>
      </c>
      <c r="J358" s="21"/>
      <c r="K358" s="21">
        <v>100.0</v>
      </c>
      <c r="L358" s="21"/>
      <c r="M358" s="16">
        <f t="shared" si="5"/>
        <v>1000</v>
      </c>
      <c r="N358" s="21">
        <f t="shared" si="6"/>
        <v>9</v>
      </c>
    </row>
    <row r="359" ht="13.5" customHeight="1">
      <c r="A359" s="2"/>
      <c r="B359" s="19" t="s">
        <v>970</v>
      </c>
      <c r="C359" s="3" t="s">
        <v>971</v>
      </c>
      <c r="D359" s="6">
        <v>1.0</v>
      </c>
      <c r="E359" s="6">
        <v>1.0</v>
      </c>
      <c r="F359" s="6">
        <v>1.0</v>
      </c>
      <c r="G359" s="6">
        <v>2.0</v>
      </c>
      <c r="H359" s="21">
        <v>450.0</v>
      </c>
      <c r="I359" s="21">
        <v>1.0</v>
      </c>
      <c r="J359" s="21"/>
      <c r="K359" s="21">
        <v>100.0</v>
      </c>
      <c r="L359" s="21"/>
      <c r="M359" s="16">
        <f t="shared" si="5"/>
        <v>1000</v>
      </c>
      <c r="N359" s="21">
        <f t="shared" si="6"/>
        <v>9</v>
      </c>
    </row>
    <row r="360" ht="13.5" customHeight="1">
      <c r="A360" s="2"/>
      <c r="B360" s="19" t="s">
        <v>972</v>
      </c>
      <c r="C360" s="3" t="s">
        <v>973</v>
      </c>
      <c r="D360" s="6">
        <v>1.0</v>
      </c>
      <c r="E360" s="6">
        <v>1.0</v>
      </c>
      <c r="F360" s="6">
        <v>1.0</v>
      </c>
      <c r="G360" s="6">
        <v>2.0</v>
      </c>
      <c r="H360" s="21">
        <v>450.0</v>
      </c>
      <c r="I360" s="21">
        <v>1.0</v>
      </c>
      <c r="J360" s="21"/>
      <c r="K360" s="21"/>
      <c r="L360" s="21">
        <v>150.0</v>
      </c>
      <c r="M360" s="16">
        <f t="shared" si="5"/>
        <v>1050</v>
      </c>
      <c r="N360" s="21">
        <f t="shared" si="6"/>
        <v>9</v>
      </c>
    </row>
    <row r="361" ht="13.5" customHeight="1">
      <c r="A361" s="2"/>
      <c r="B361" s="19" t="s">
        <v>974</v>
      </c>
      <c r="C361" s="3" t="s">
        <v>975</v>
      </c>
      <c r="D361" s="6">
        <v>1.0</v>
      </c>
      <c r="E361" s="6">
        <v>1.0</v>
      </c>
      <c r="F361" s="6">
        <v>1.0</v>
      </c>
      <c r="G361" s="6">
        <v>2.0</v>
      </c>
      <c r="H361" s="21">
        <v>450.0</v>
      </c>
      <c r="I361" s="21">
        <v>1.0</v>
      </c>
      <c r="J361" s="21"/>
      <c r="K361" s="21"/>
      <c r="L361" s="21"/>
      <c r="M361" s="16">
        <f t="shared" si="5"/>
        <v>900</v>
      </c>
      <c r="N361" s="21">
        <f t="shared" si="6"/>
        <v>10</v>
      </c>
    </row>
    <row r="362" ht="13.5" customHeight="1">
      <c r="A362" s="2"/>
      <c r="B362" s="19" t="s">
        <v>976</v>
      </c>
      <c r="C362" s="3" t="s">
        <v>977</v>
      </c>
      <c r="D362" s="6">
        <v>1.0</v>
      </c>
      <c r="E362" s="6">
        <v>1.0</v>
      </c>
      <c r="F362" s="6">
        <v>1.0</v>
      </c>
      <c r="G362" s="6">
        <v>2.0</v>
      </c>
      <c r="H362" s="21">
        <v>400.0</v>
      </c>
      <c r="I362" s="21">
        <v>1.0</v>
      </c>
      <c r="J362" s="21"/>
      <c r="K362" s="21"/>
      <c r="L362" s="21"/>
      <c r="M362" s="16">
        <f t="shared" si="5"/>
        <v>800</v>
      </c>
      <c r="N362" s="21">
        <f t="shared" si="6"/>
        <v>11</v>
      </c>
    </row>
    <row r="363" ht="13.5" customHeight="1">
      <c r="A363" s="2"/>
      <c r="B363" s="19" t="s">
        <v>978</v>
      </c>
      <c r="C363" s="3" t="s">
        <v>979</v>
      </c>
      <c r="D363" s="6">
        <v>1.0</v>
      </c>
      <c r="E363" s="6">
        <v>1.0</v>
      </c>
      <c r="F363" s="6">
        <v>1.0</v>
      </c>
      <c r="G363" s="6">
        <v>2.0</v>
      </c>
      <c r="H363" s="21">
        <v>400.0</v>
      </c>
      <c r="I363" s="21">
        <v>1.0</v>
      </c>
      <c r="J363" s="21"/>
      <c r="K363" s="21"/>
      <c r="L363" s="21"/>
      <c r="M363" s="16">
        <f t="shared" si="5"/>
        <v>800</v>
      </c>
      <c r="N363" s="21">
        <f t="shared" si="6"/>
        <v>11</v>
      </c>
    </row>
    <row r="364" ht="13.5" customHeight="1">
      <c r="A364" s="2"/>
      <c r="B364" s="19" t="s">
        <v>980</v>
      </c>
      <c r="C364" s="3" t="s">
        <v>981</v>
      </c>
      <c r="D364" s="6">
        <v>1.0</v>
      </c>
      <c r="E364" s="6">
        <v>1.0</v>
      </c>
      <c r="F364" s="6">
        <v>1.0</v>
      </c>
      <c r="G364" s="6">
        <v>2.0</v>
      </c>
      <c r="H364" s="21">
        <v>500.0</v>
      </c>
      <c r="I364" s="21">
        <v>1.0</v>
      </c>
      <c r="J364" s="21"/>
      <c r="K364" s="21"/>
      <c r="L364" s="21"/>
      <c r="M364" s="16">
        <f t="shared" si="5"/>
        <v>1000</v>
      </c>
      <c r="N364" s="21">
        <f t="shared" si="6"/>
        <v>9</v>
      </c>
    </row>
    <row r="365" ht="13.5" customHeight="1">
      <c r="A365" s="2"/>
      <c r="B365" s="19" t="s">
        <v>982</v>
      </c>
      <c r="C365" s="3" t="s">
        <v>983</v>
      </c>
      <c r="D365" s="6">
        <v>1.0</v>
      </c>
      <c r="E365" s="6">
        <v>1.0</v>
      </c>
      <c r="F365" s="6">
        <v>1.0</v>
      </c>
      <c r="G365" s="6">
        <v>2.0</v>
      </c>
      <c r="H365" s="21">
        <v>500.0</v>
      </c>
      <c r="I365" s="21">
        <v>1.0</v>
      </c>
      <c r="J365" s="21"/>
      <c r="K365" s="21">
        <v>100.0</v>
      </c>
      <c r="L365" s="21"/>
      <c r="M365" s="16">
        <f t="shared" si="5"/>
        <v>1100</v>
      </c>
      <c r="N365" s="21">
        <f t="shared" si="6"/>
        <v>8</v>
      </c>
    </row>
    <row r="366" ht="13.5" customHeight="1">
      <c r="A366" s="2"/>
      <c r="B366" s="19" t="s">
        <v>984</v>
      </c>
      <c r="C366" s="3" t="s">
        <v>985</v>
      </c>
      <c r="D366" s="6">
        <v>1.0</v>
      </c>
      <c r="E366" s="6">
        <v>1.0</v>
      </c>
      <c r="F366" s="6">
        <v>1.0</v>
      </c>
      <c r="G366" s="6">
        <v>2.0</v>
      </c>
      <c r="H366" s="21">
        <v>500.0</v>
      </c>
      <c r="I366" s="21">
        <v>1.0</v>
      </c>
      <c r="J366" s="21"/>
      <c r="K366" s="21">
        <v>100.0</v>
      </c>
      <c r="L366" s="21"/>
      <c r="M366" s="16">
        <f t="shared" si="5"/>
        <v>1100</v>
      </c>
      <c r="N366" s="21">
        <f t="shared" si="6"/>
        <v>8</v>
      </c>
    </row>
    <row r="367" ht="13.5" customHeight="1">
      <c r="A367" s="2"/>
      <c r="B367" s="19" t="s">
        <v>986</v>
      </c>
      <c r="C367" s="3" t="s">
        <v>987</v>
      </c>
      <c r="D367" s="6">
        <v>1.0</v>
      </c>
      <c r="E367" s="6">
        <v>1.0</v>
      </c>
      <c r="F367" s="6">
        <v>1.0</v>
      </c>
      <c r="G367" s="6">
        <v>2.0</v>
      </c>
      <c r="H367" s="21">
        <v>500.0</v>
      </c>
      <c r="I367" s="21">
        <v>1.0</v>
      </c>
      <c r="J367" s="21"/>
      <c r="K367" s="21"/>
      <c r="L367" s="21"/>
      <c r="M367" s="16">
        <f t="shared" si="5"/>
        <v>1000</v>
      </c>
      <c r="N367" s="21">
        <f t="shared" si="6"/>
        <v>9</v>
      </c>
    </row>
    <row r="368" ht="13.5" customHeight="1">
      <c r="A368" s="2"/>
      <c r="B368" s="19" t="s">
        <v>988</v>
      </c>
      <c r="C368" s="3" t="s">
        <v>989</v>
      </c>
      <c r="D368" s="6">
        <v>1.0</v>
      </c>
      <c r="E368" s="6">
        <v>1.0</v>
      </c>
      <c r="F368" s="6">
        <v>1.0</v>
      </c>
      <c r="G368" s="6">
        <v>2.0</v>
      </c>
      <c r="H368" s="21">
        <v>500.0</v>
      </c>
      <c r="I368" s="21">
        <v>1.0</v>
      </c>
      <c r="J368" s="21"/>
      <c r="K368" s="21"/>
      <c r="L368" s="21">
        <v>150.0</v>
      </c>
      <c r="M368" s="16">
        <f t="shared" si="5"/>
        <v>1150</v>
      </c>
      <c r="N368" s="21">
        <f t="shared" si="6"/>
        <v>8</v>
      </c>
    </row>
    <row r="369" ht="13.5" customHeight="1">
      <c r="A369" s="2"/>
      <c r="B369" s="19" t="s">
        <v>990</v>
      </c>
      <c r="C369" s="3" t="s">
        <v>991</v>
      </c>
      <c r="D369" s="6">
        <v>1.0</v>
      </c>
      <c r="E369" s="6">
        <v>1.0</v>
      </c>
      <c r="F369" s="6">
        <v>1.0</v>
      </c>
      <c r="G369" s="6">
        <v>2.0</v>
      </c>
      <c r="H369" s="21">
        <v>500.0</v>
      </c>
      <c r="I369" s="21">
        <v>1.0</v>
      </c>
      <c r="J369" s="21"/>
      <c r="K369" s="21"/>
      <c r="L369" s="21"/>
      <c r="M369" s="16">
        <f t="shared" si="5"/>
        <v>1000</v>
      </c>
      <c r="N369" s="21">
        <f t="shared" si="6"/>
        <v>9</v>
      </c>
    </row>
    <row r="370" ht="13.5" customHeight="1">
      <c r="A370" s="2"/>
      <c r="B370" s="19" t="s">
        <v>992</v>
      </c>
      <c r="C370" s="3" t="s">
        <v>993</v>
      </c>
      <c r="D370" s="6">
        <v>1.0</v>
      </c>
      <c r="E370" s="6">
        <v>1.0</v>
      </c>
      <c r="F370" s="6">
        <v>1.0</v>
      </c>
      <c r="G370" s="6">
        <v>2.0</v>
      </c>
      <c r="H370" s="21">
        <v>500.0</v>
      </c>
      <c r="I370" s="21">
        <v>1.0</v>
      </c>
      <c r="J370" s="21"/>
      <c r="K370" s="21">
        <v>100.0</v>
      </c>
      <c r="L370" s="21"/>
      <c r="M370" s="16">
        <f t="shared" si="5"/>
        <v>1100</v>
      </c>
      <c r="N370" s="21">
        <f t="shared" si="6"/>
        <v>8</v>
      </c>
    </row>
    <row r="371" ht="13.5" customHeight="1">
      <c r="A371" s="2"/>
      <c r="B371" s="19" t="s">
        <v>994</v>
      </c>
      <c r="C371" s="3" t="s">
        <v>995</v>
      </c>
      <c r="D371" s="6">
        <v>1.0</v>
      </c>
      <c r="E371" s="6">
        <v>1.0</v>
      </c>
      <c r="F371" s="6">
        <v>1.0</v>
      </c>
      <c r="G371" s="6">
        <v>2.0</v>
      </c>
      <c r="H371" s="21">
        <v>500.0</v>
      </c>
      <c r="I371" s="21">
        <v>1.0</v>
      </c>
      <c r="J371" s="21"/>
      <c r="K371" s="21"/>
      <c r="L371" s="21"/>
      <c r="M371" s="16">
        <f t="shared" si="5"/>
        <v>1000</v>
      </c>
      <c r="N371" s="21">
        <f t="shared" si="6"/>
        <v>9</v>
      </c>
    </row>
    <row r="372" ht="13.5" customHeight="1">
      <c r="A372" s="2"/>
      <c r="B372" s="19" t="s">
        <v>996</v>
      </c>
      <c r="C372" s="3" t="s">
        <v>997</v>
      </c>
      <c r="D372" s="6">
        <v>1.0</v>
      </c>
      <c r="E372" s="6">
        <v>1.0</v>
      </c>
      <c r="F372" s="6">
        <v>1.0</v>
      </c>
      <c r="G372" s="6">
        <v>2.0</v>
      </c>
      <c r="H372" s="21">
        <v>500.0</v>
      </c>
      <c r="I372" s="21">
        <v>1.0</v>
      </c>
      <c r="J372" s="21"/>
      <c r="K372" s="21"/>
      <c r="L372" s="21"/>
      <c r="M372" s="16">
        <f t="shared" si="5"/>
        <v>1000</v>
      </c>
      <c r="N372" s="21">
        <f t="shared" si="6"/>
        <v>9</v>
      </c>
    </row>
    <row r="373" ht="13.5" customHeight="1">
      <c r="A373" s="2"/>
      <c r="B373" s="19" t="s">
        <v>998</v>
      </c>
      <c r="C373" s="3" t="s">
        <v>999</v>
      </c>
      <c r="D373" s="6">
        <v>1.0</v>
      </c>
      <c r="E373" s="6">
        <v>1.0</v>
      </c>
      <c r="F373" s="6">
        <v>1.0</v>
      </c>
      <c r="G373" s="6">
        <v>2.0</v>
      </c>
      <c r="H373" s="21">
        <v>500.0</v>
      </c>
      <c r="I373" s="21">
        <v>1.0</v>
      </c>
      <c r="J373" s="21"/>
      <c r="K373" s="21">
        <v>100.0</v>
      </c>
      <c r="L373" s="21"/>
      <c r="M373" s="16">
        <f t="shared" si="5"/>
        <v>1100</v>
      </c>
      <c r="N373" s="21">
        <f t="shared" si="6"/>
        <v>8</v>
      </c>
    </row>
    <row r="374" ht="13.5" customHeight="1">
      <c r="A374" s="2"/>
      <c r="B374" s="19" t="s">
        <v>1000</v>
      </c>
      <c r="C374" s="3" t="s">
        <v>1001</v>
      </c>
      <c r="D374" s="6">
        <v>1.0</v>
      </c>
      <c r="E374" s="6">
        <v>1.0</v>
      </c>
      <c r="F374" s="6">
        <v>1.0</v>
      </c>
      <c r="G374" s="6">
        <v>2.0</v>
      </c>
      <c r="H374" s="21">
        <v>500.0</v>
      </c>
      <c r="I374" s="21">
        <v>1.0</v>
      </c>
      <c r="J374" s="21"/>
      <c r="K374" s="21">
        <v>100.0</v>
      </c>
      <c r="L374" s="21"/>
      <c r="M374" s="16">
        <f t="shared" si="5"/>
        <v>1100</v>
      </c>
      <c r="N374" s="21">
        <f t="shared" si="6"/>
        <v>8</v>
      </c>
    </row>
    <row r="375" ht="13.5" customHeight="1">
      <c r="A375" s="2"/>
      <c r="B375" s="19" t="s">
        <v>1002</v>
      </c>
      <c r="C375" s="3" t="s">
        <v>1003</v>
      </c>
      <c r="D375" s="6">
        <v>1.0</v>
      </c>
      <c r="E375" s="6">
        <v>1.0</v>
      </c>
      <c r="F375" s="6">
        <v>1.0</v>
      </c>
      <c r="G375" s="6">
        <v>2.0</v>
      </c>
      <c r="H375" s="21">
        <v>500.0</v>
      </c>
      <c r="I375" s="21">
        <v>1.0</v>
      </c>
      <c r="J375" s="21"/>
      <c r="K375" s="21"/>
      <c r="L375" s="21">
        <v>150.0</v>
      </c>
      <c r="M375" s="16">
        <f t="shared" si="5"/>
        <v>1150</v>
      </c>
      <c r="N375" s="21">
        <f t="shared" si="6"/>
        <v>8</v>
      </c>
    </row>
    <row r="376" ht="13.5" customHeight="1">
      <c r="A376" s="7" t="s">
        <v>1005</v>
      </c>
      <c r="B376" s="2"/>
      <c r="D376" s="6"/>
      <c r="E376" s="6"/>
      <c r="F376" s="6"/>
      <c r="G376" s="6"/>
      <c r="H376" s="21"/>
      <c r="I376" s="21">
        <v>1.0</v>
      </c>
      <c r="J376" s="21"/>
      <c r="K376" s="21"/>
      <c r="L376" s="21"/>
      <c r="M376" s="16" t="str">
        <f t="shared" si="5"/>
        <v/>
      </c>
      <c r="N376" s="21" t="str">
        <f t="shared" si="6"/>
        <v/>
      </c>
    </row>
    <row r="377" ht="13.5" customHeight="1">
      <c r="A377" s="2"/>
      <c r="B377" s="19" t="s">
        <v>1006</v>
      </c>
      <c r="C377" s="6" t="s">
        <v>1007</v>
      </c>
      <c r="D377" s="6">
        <v>1.0</v>
      </c>
      <c r="E377" s="6">
        <v>1.0</v>
      </c>
      <c r="F377" s="6">
        <v>1.0</v>
      </c>
      <c r="G377" s="32">
        <v>1.0</v>
      </c>
      <c r="H377" s="26">
        <v>800.0</v>
      </c>
      <c r="I377" s="21">
        <v>1.0</v>
      </c>
      <c r="J377" s="21"/>
      <c r="K377" s="21"/>
      <c r="L377" s="21"/>
      <c r="M377" s="16">
        <f t="shared" si="5"/>
        <v>800</v>
      </c>
      <c r="N377" s="21">
        <f t="shared" si="6"/>
        <v>11</v>
      </c>
    </row>
    <row r="378" ht="13.5" customHeight="1">
      <c r="A378" s="2"/>
      <c r="B378" s="19" t="s">
        <v>1008</v>
      </c>
      <c r="C378" s="6" t="s">
        <v>1009</v>
      </c>
      <c r="D378" s="6">
        <v>1.0</v>
      </c>
      <c r="E378" s="6">
        <v>1.0</v>
      </c>
      <c r="F378" s="6">
        <v>1.0</v>
      </c>
      <c r="G378" s="32">
        <v>1.0</v>
      </c>
      <c r="H378" s="26">
        <v>800.0</v>
      </c>
      <c r="I378" s="21">
        <v>1.0</v>
      </c>
      <c r="J378" s="21"/>
      <c r="K378" s="21"/>
      <c r="L378" s="21"/>
      <c r="M378" s="16">
        <f t="shared" si="5"/>
        <v>800</v>
      </c>
      <c r="N378" s="21">
        <f t="shared" si="6"/>
        <v>11</v>
      </c>
    </row>
    <row r="379" ht="13.5" customHeight="1">
      <c r="A379" s="2"/>
      <c r="B379" s="19" t="s">
        <v>1010</v>
      </c>
      <c r="C379" s="6" t="s">
        <v>1011</v>
      </c>
      <c r="D379" s="6">
        <v>1.0</v>
      </c>
      <c r="E379" s="6">
        <v>1.0</v>
      </c>
      <c r="F379" s="6">
        <v>1.0</v>
      </c>
      <c r="G379" s="32">
        <v>1.0</v>
      </c>
      <c r="H379" s="26">
        <v>1000.0</v>
      </c>
      <c r="I379" s="21">
        <v>1.0</v>
      </c>
      <c r="J379" s="21"/>
      <c r="K379" s="21"/>
      <c r="L379" s="21"/>
      <c r="M379" s="16">
        <f t="shared" si="5"/>
        <v>1000</v>
      </c>
      <c r="N379" s="21">
        <f t="shared" si="6"/>
        <v>9</v>
      </c>
    </row>
    <row r="380" ht="13.5" customHeight="1">
      <c r="A380" s="2"/>
      <c r="B380" s="19" t="s">
        <v>1012</v>
      </c>
      <c r="C380" s="6" t="s">
        <v>1013</v>
      </c>
      <c r="D380" s="6">
        <v>1.0</v>
      </c>
      <c r="E380" s="6">
        <v>1.0</v>
      </c>
      <c r="F380" s="6">
        <v>1.0</v>
      </c>
      <c r="G380" s="32">
        <v>2.0</v>
      </c>
      <c r="H380" s="30">
        <v>1200.0</v>
      </c>
      <c r="I380" s="21">
        <v>1.0</v>
      </c>
      <c r="J380" s="21"/>
      <c r="K380" s="21"/>
      <c r="L380" s="21"/>
      <c r="M380" s="16">
        <f t="shared" si="5"/>
        <v>2400</v>
      </c>
      <c r="N380" s="21">
        <f t="shared" si="6"/>
        <v>4</v>
      </c>
    </row>
    <row r="381" ht="13.5" customHeight="1">
      <c r="A381" s="2"/>
      <c r="B381" s="19" t="s">
        <v>1014</v>
      </c>
      <c r="C381" s="6" t="s">
        <v>1015</v>
      </c>
      <c r="D381" s="6">
        <v>1.0</v>
      </c>
      <c r="E381" s="6">
        <v>1.0</v>
      </c>
      <c r="F381" s="6">
        <v>1.0</v>
      </c>
      <c r="G381" s="32">
        <v>2.0</v>
      </c>
      <c r="H381" s="30">
        <v>1200.0</v>
      </c>
      <c r="I381" s="21">
        <v>1.0</v>
      </c>
      <c r="J381" s="21"/>
      <c r="K381" s="21"/>
      <c r="L381" s="21"/>
      <c r="M381" s="16">
        <f t="shared" si="5"/>
        <v>2400</v>
      </c>
      <c r="N381" s="21">
        <f t="shared" si="6"/>
        <v>4</v>
      </c>
    </row>
    <row r="382" ht="13.5" customHeight="1">
      <c r="A382" s="2"/>
      <c r="B382" s="19" t="s">
        <v>1016</v>
      </c>
      <c r="C382" s="6" t="s">
        <v>1017</v>
      </c>
      <c r="D382" s="6">
        <v>1.0</v>
      </c>
      <c r="E382" s="6">
        <v>1.0</v>
      </c>
      <c r="F382" s="6">
        <v>1.0</v>
      </c>
      <c r="G382" s="32">
        <v>2.0</v>
      </c>
      <c r="H382" s="30">
        <v>1200.0</v>
      </c>
      <c r="I382" s="21">
        <v>1.0</v>
      </c>
      <c r="J382" s="21"/>
      <c r="K382" s="21"/>
      <c r="L382" s="21"/>
      <c r="M382" s="16">
        <f t="shared" si="5"/>
        <v>2400</v>
      </c>
      <c r="N382" s="21">
        <f t="shared" si="6"/>
        <v>4</v>
      </c>
    </row>
    <row r="383" ht="13.5" customHeight="1">
      <c r="A383" s="2"/>
      <c r="B383" s="19" t="s">
        <v>1018</v>
      </c>
      <c r="C383" s="6" t="s">
        <v>1019</v>
      </c>
      <c r="D383" s="6">
        <v>1.0</v>
      </c>
      <c r="E383" s="6">
        <v>1.0</v>
      </c>
      <c r="F383" s="6">
        <v>1.0</v>
      </c>
      <c r="G383" s="32">
        <v>2.0</v>
      </c>
      <c r="H383" s="26">
        <v>1000.0</v>
      </c>
      <c r="I383" s="21">
        <v>1.0</v>
      </c>
      <c r="J383" s="21"/>
      <c r="K383" s="21"/>
      <c r="L383" s="21"/>
      <c r="M383" s="16">
        <f t="shared" si="5"/>
        <v>2000</v>
      </c>
      <c r="N383" s="21">
        <f t="shared" si="6"/>
        <v>5</v>
      </c>
    </row>
    <row r="384" ht="13.5" customHeight="1">
      <c r="A384" s="2"/>
      <c r="B384" s="19" t="s">
        <v>1020</v>
      </c>
      <c r="C384" s="6" t="s">
        <v>1021</v>
      </c>
      <c r="D384" s="6">
        <v>1.0</v>
      </c>
      <c r="E384" s="6">
        <v>1.0</v>
      </c>
      <c r="F384" s="6">
        <v>1.0</v>
      </c>
      <c r="G384" s="32">
        <v>2.0</v>
      </c>
      <c r="H384" s="26">
        <v>1000.0</v>
      </c>
      <c r="I384" s="21">
        <v>1.0</v>
      </c>
      <c r="J384" s="21"/>
      <c r="K384" s="21"/>
      <c r="L384" s="21"/>
      <c r="M384" s="16">
        <f t="shared" si="5"/>
        <v>2000</v>
      </c>
      <c r="N384" s="21">
        <f t="shared" si="6"/>
        <v>5</v>
      </c>
    </row>
    <row r="385" ht="13.5" customHeight="1">
      <c r="A385" s="2"/>
      <c r="B385" s="19" t="s">
        <v>1022</v>
      </c>
      <c r="C385" s="6" t="s">
        <v>1023</v>
      </c>
      <c r="D385" s="6">
        <v>1.0</v>
      </c>
      <c r="E385" s="6">
        <v>1.0</v>
      </c>
      <c r="F385" s="6">
        <v>1.0</v>
      </c>
      <c r="G385" s="32">
        <v>2.0</v>
      </c>
      <c r="H385" s="26">
        <v>1000.0</v>
      </c>
      <c r="I385" s="21">
        <v>1.0</v>
      </c>
      <c r="J385" s="21"/>
      <c r="K385" s="21"/>
      <c r="L385" s="21"/>
      <c r="M385" s="16">
        <f t="shared" si="5"/>
        <v>2000</v>
      </c>
      <c r="N385" s="21">
        <f t="shared" si="6"/>
        <v>5</v>
      </c>
    </row>
    <row r="386" ht="13.5" customHeight="1">
      <c r="A386" s="2"/>
      <c r="B386" s="19" t="s">
        <v>1026</v>
      </c>
      <c r="C386" s="6" t="s">
        <v>1027</v>
      </c>
      <c r="D386" s="6">
        <v>1.0</v>
      </c>
      <c r="E386" s="6">
        <v>1.0</v>
      </c>
      <c r="F386" s="6">
        <v>1.0</v>
      </c>
      <c r="G386" s="32">
        <v>2.0</v>
      </c>
      <c r="H386" s="26">
        <v>1000.0</v>
      </c>
      <c r="I386" s="21">
        <v>1.0</v>
      </c>
      <c r="J386" s="21"/>
      <c r="K386" s="21"/>
      <c r="L386" s="21"/>
      <c r="M386" s="16">
        <f t="shared" si="5"/>
        <v>2000</v>
      </c>
      <c r="N386" s="21">
        <f t="shared" si="6"/>
        <v>5</v>
      </c>
    </row>
    <row r="387" ht="13.5" customHeight="1">
      <c r="A387" s="2"/>
      <c r="B387" s="19" t="s">
        <v>1028</v>
      </c>
      <c r="C387" s="6" t="s">
        <v>1029</v>
      </c>
      <c r="D387" s="6">
        <v>1.0</v>
      </c>
      <c r="E387" s="6">
        <v>1.0</v>
      </c>
      <c r="F387" s="6">
        <v>1.0</v>
      </c>
      <c r="G387" s="32">
        <v>2.0</v>
      </c>
      <c r="H387" s="26">
        <v>1000.0</v>
      </c>
      <c r="I387" s="21">
        <v>1.0</v>
      </c>
      <c r="J387" s="21"/>
      <c r="K387" s="21"/>
      <c r="L387" s="21"/>
      <c r="M387" s="16">
        <f t="shared" si="5"/>
        <v>2000</v>
      </c>
      <c r="N387" s="21">
        <f t="shared" si="6"/>
        <v>5</v>
      </c>
    </row>
    <row r="388" ht="13.5" customHeight="1">
      <c r="A388" s="2"/>
      <c r="B388" s="19" t="s">
        <v>1031</v>
      </c>
      <c r="C388" s="6" t="s">
        <v>1032</v>
      </c>
      <c r="D388" s="6">
        <v>1.0</v>
      </c>
      <c r="E388" s="6">
        <v>1.0</v>
      </c>
      <c r="F388" s="6">
        <v>1.0</v>
      </c>
      <c r="G388" s="32">
        <v>2.0</v>
      </c>
      <c r="H388" s="30">
        <v>1400.0</v>
      </c>
      <c r="I388" s="21">
        <v>1.0</v>
      </c>
      <c r="J388" s="21"/>
      <c r="K388" s="21"/>
      <c r="L388" s="21"/>
      <c r="M388" s="16">
        <f t="shared" si="5"/>
        <v>2800</v>
      </c>
      <c r="N388" s="21">
        <f t="shared" si="6"/>
        <v>3</v>
      </c>
    </row>
    <row r="389" ht="13.5" customHeight="1">
      <c r="A389" s="2"/>
      <c r="B389" s="19" t="s">
        <v>1033</v>
      </c>
      <c r="C389" s="6" t="s">
        <v>1034</v>
      </c>
      <c r="D389" s="6">
        <v>1.0</v>
      </c>
      <c r="E389" s="6">
        <v>1.0</v>
      </c>
      <c r="F389" s="6">
        <v>1.0</v>
      </c>
      <c r="G389" s="32">
        <v>2.0</v>
      </c>
      <c r="H389" s="30">
        <v>1400.0</v>
      </c>
      <c r="I389" s="21">
        <v>1.0</v>
      </c>
      <c r="J389" s="21"/>
      <c r="K389" s="21"/>
      <c r="L389" s="21"/>
      <c r="M389" s="16">
        <f t="shared" si="5"/>
        <v>2800</v>
      </c>
      <c r="N389" s="21">
        <f t="shared" si="6"/>
        <v>3</v>
      </c>
    </row>
    <row r="390" ht="13.5" customHeight="1">
      <c r="A390" s="2"/>
      <c r="B390" s="19" t="s">
        <v>1036</v>
      </c>
      <c r="C390" s="6" t="s">
        <v>1037</v>
      </c>
      <c r="D390" s="6">
        <v>1.0</v>
      </c>
      <c r="E390" s="6">
        <v>1.0</v>
      </c>
      <c r="F390" s="6">
        <v>1.0</v>
      </c>
      <c r="G390" s="32">
        <v>2.0</v>
      </c>
      <c r="H390" s="30">
        <v>1200.0</v>
      </c>
      <c r="I390" s="21">
        <v>1.0</v>
      </c>
      <c r="J390" s="21"/>
      <c r="K390" s="21"/>
      <c r="L390" s="21"/>
      <c r="M390" s="16">
        <f t="shared" si="5"/>
        <v>2400</v>
      </c>
      <c r="N390" s="21">
        <f t="shared" si="6"/>
        <v>4</v>
      </c>
    </row>
    <row r="391" ht="13.5" customHeight="1">
      <c r="A391" s="2"/>
      <c r="B391" s="19" t="s">
        <v>1038</v>
      </c>
      <c r="C391" s="6" t="s">
        <v>1039</v>
      </c>
      <c r="D391" s="6">
        <v>1.0</v>
      </c>
      <c r="E391" s="6">
        <v>1.0</v>
      </c>
      <c r="F391" s="6">
        <v>1.0</v>
      </c>
      <c r="G391" s="32">
        <v>2.0</v>
      </c>
      <c r="H391" s="30">
        <v>1200.0</v>
      </c>
      <c r="I391" s="21">
        <v>1.0</v>
      </c>
      <c r="J391" s="21"/>
      <c r="K391" s="21"/>
      <c r="L391" s="21"/>
      <c r="M391" s="16">
        <f t="shared" si="5"/>
        <v>2400</v>
      </c>
      <c r="N391" s="21">
        <f t="shared" si="6"/>
        <v>4</v>
      </c>
    </row>
    <row r="392" ht="13.5" customHeight="1">
      <c r="A392" s="2"/>
      <c r="B392" s="19" t="s">
        <v>1040</v>
      </c>
      <c r="C392" s="6" t="s">
        <v>1041</v>
      </c>
      <c r="D392" s="6">
        <v>1.0</v>
      </c>
      <c r="E392" s="6">
        <v>1.0</v>
      </c>
      <c r="F392" s="6">
        <v>1.0</v>
      </c>
      <c r="G392" s="32">
        <v>2.0</v>
      </c>
      <c r="H392" s="30">
        <v>1200.0</v>
      </c>
      <c r="I392" s="21">
        <v>1.0</v>
      </c>
      <c r="J392" s="21"/>
      <c r="K392" s="21"/>
      <c r="L392" s="21"/>
      <c r="M392" s="16">
        <f t="shared" si="5"/>
        <v>2400</v>
      </c>
      <c r="N392" s="21">
        <f t="shared" si="6"/>
        <v>4</v>
      </c>
    </row>
    <row r="393" ht="13.5" customHeight="1">
      <c r="A393" s="2"/>
      <c r="B393" s="19" t="s">
        <v>1042</v>
      </c>
      <c r="C393" s="6" t="s">
        <v>1043</v>
      </c>
      <c r="D393" s="6">
        <v>1.0</v>
      </c>
      <c r="E393" s="6">
        <v>1.0</v>
      </c>
      <c r="F393" s="6">
        <v>1.0</v>
      </c>
      <c r="G393" s="32">
        <v>2.0</v>
      </c>
      <c r="H393" s="26">
        <v>1000.0</v>
      </c>
      <c r="I393" s="21">
        <v>1.0</v>
      </c>
      <c r="J393" s="21"/>
      <c r="K393" s="21"/>
      <c r="L393" s="21"/>
      <c r="M393" s="16">
        <f t="shared" si="5"/>
        <v>2000</v>
      </c>
      <c r="N393" s="21">
        <f t="shared" si="6"/>
        <v>5</v>
      </c>
    </row>
    <row r="394" ht="13.5" customHeight="1">
      <c r="A394" s="2"/>
      <c r="B394" s="19" t="s">
        <v>1044</v>
      </c>
      <c r="C394" s="6" t="s">
        <v>1045</v>
      </c>
      <c r="D394" s="6">
        <v>1.0</v>
      </c>
      <c r="E394" s="6">
        <v>1.0</v>
      </c>
      <c r="F394" s="6">
        <v>1.0</v>
      </c>
      <c r="G394" s="32">
        <v>2.0</v>
      </c>
      <c r="H394" s="26">
        <v>1000.0</v>
      </c>
      <c r="I394" s="21">
        <v>1.0</v>
      </c>
      <c r="J394" s="21"/>
      <c r="K394" s="21"/>
      <c r="L394" s="21"/>
      <c r="M394" s="16">
        <f t="shared" si="5"/>
        <v>2000</v>
      </c>
      <c r="N394" s="21">
        <f t="shared" si="6"/>
        <v>5</v>
      </c>
    </row>
    <row r="395" ht="13.5" customHeight="1">
      <c r="A395" s="2"/>
      <c r="B395" s="19" t="s">
        <v>1046</v>
      </c>
      <c r="C395" s="6" t="s">
        <v>1047</v>
      </c>
      <c r="D395" s="6">
        <v>1.0</v>
      </c>
      <c r="E395" s="6">
        <v>1.0</v>
      </c>
      <c r="F395" s="6">
        <v>1.0</v>
      </c>
      <c r="G395" s="32">
        <v>2.0</v>
      </c>
      <c r="H395" s="26">
        <v>900.0</v>
      </c>
      <c r="I395" s="21">
        <v>1.0</v>
      </c>
      <c r="J395" s="21"/>
      <c r="K395" s="21"/>
      <c r="L395" s="21"/>
      <c r="M395" s="16">
        <f t="shared" si="5"/>
        <v>1800</v>
      </c>
      <c r="N395" s="21">
        <f t="shared" si="6"/>
        <v>5</v>
      </c>
    </row>
    <row r="396" ht="13.5" customHeight="1">
      <c r="A396" s="2"/>
      <c r="B396" s="19" t="s">
        <v>1048</v>
      </c>
      <c r="C396" s="6" t="s">
        <v>1049</v>
      </c>
      <c r="D396" s="6">
        <v>1.0</v>
      </c>
      <c r="E396" s="6">
        <v>1.0</v>
      </c>
      <c r="F396" s="6">
        <v>1.0</v>
      </c>
      <c r="G396" s="32">
        <v>3.0</v>
      </c>
      <c r="H396" s="30">
        <v>2000.0</v>
      </c>
      <c r="I396" s="21">
        <v>1.0</v>
      </c>
      <c r="J396" s="21"/>
      <c r="K396" s="21"/>
      <c r="L396" s="21"/>
      <c r="M396" s="16">
        <f t="shared" si="5"/>
        <v>6000</v>
      </c>
      <c r="N396" s="21">
        <f t="shared" si="6"/>
        <v>2</v>
      </c>
    </row>
    <row r="397" ht="13.5" customHeight="1">
      <c r="A397" s="2"/>
      <c r="B397" s="19" t="s">
        <v>1050</v>
      </c>
      <c r="C397" s="6" t="s">
        <v>1051</v>
      </c>
      <c r="D397" s="6">
        <v>1.0</v>
      </c>
      <c r="E397" s="6">
        <v>1.0</v>
      </c>
      <c r="F397" s="6">
        <v>1.0</v>
      </c>
      <c r="G397" s="32">
        <v>3.0</v>
      </c>
      <c r="H397" s="30">
        <v>2000.0</v>
      </c>
      <c r="I397" s="21">
        <v>1.0</v>
      </c>
      <c r="J397" s="21"/>
      <c r="K397" s="21"/>
      <c r="L397" s="21"/>
      <c r="M397" s="16">
        <f t="shared" si="5"/>
        <v>6000</v>
      </c>
      <c r="N397" s="21">
        <f t="shared" si="6"/>
        <v>2</v>
      </c>
    </row>
    <row r="398" ht="13.5" customHeight="1">
      <c r="A398" s="2"/>
      <c r="B398" s="19" t="s">
        <v>1052</v>
      </c>
      <c r="C398" s="6" t="s">
        <v>1053</v>
      </c>
      <c r="D398" s="6">
        <v>1.0</v>
      </c>
      <c r="E398" s="6">
        <v>1.0</v>
      </c>
      <c r="F398" s="6">
        <v>1.0</v>
      </c>
      <c r="G398" s="32">
        <v>3.0</v>
      </c>
      <c r="H398" s="30">
        <v>1500.0</v>
      </c>
      <c r="I398" s="21">
        <v>1.0</v>
      </c>
      <c r="J398" s="21"/>
      <c r="K398" s="21"/>
      <c r="L398" s="21"/>
      <c r="M398" s="16">
        <f t="shared" si="5"/>
        <v>4500</v>
      </c>
      <c r="N398" s="21">
        <f t="shared" si="6"/>
        <v>2</v>
      </c>
    </row>
    <row r="399" ht="13.5" customHeight="1">
      <c r="A399" s="2"/>
      <c r="B399" s="19" t="s">
        <v>1054</v>
      </c>
      <c r="C399" s="6" t="s">
        <v>1055</v>
      </c>
      <c r="D399" s="6">
        <v>1.0</v>
      </c>
      <c r="E399" s="6">
        <v>1.0</v>
      </c>
      <c r="F399" s="6">
        <v>1.0</v>
      </c>
      <c r="G399" s="32">
        <v>3.0</v>
      </c>
      <c r="H399" s="30">
        <v>1500.0</v>
      </c>
      <c r="I399" s="21">
        <v>1.0</v>
      </c>
      <c r="J399" s="21"/>
      <c r="K399" s="21"/>
      <c r="L399" s="21"/>
      <c r="M399" s="16">
        <f t="shared" si="5"/>
        <v>4500</v>
      </c>
      <c r="N399" s="21">
        <f t="shared" si="6"/>
        <v>2</v>
      </c>
    </row>
    <row r="400" ht="13.5" customHeight="1">
      <c r="A400" s="2"/>
      <c r="B400" s="19" t="s">
        <v>1059</v>
      </c>
      <c r="C400" s="3" t="s">
        <v>1061</v>
      </c>
      <c r="D400" s="6">
        <v>1.0</v>
      </c>
      <c r="E400" s="6">
        <v>1.0</v>
      </c>
      <c r="F400" s="6">
        <v>1.0</v>
      </c>
      <c r="G400" s="6">
        <v>2.0</v>
      </c>
      <c r="H400" s="21">
        <v>800.0</v>
      </c>
      <c r="I400" s="21">
        <v>1.0</v>
      </c>
      <c r="J400" s="21"/>
      <c r="K400" s="21"/>
      <c r="L400" s="21"/>
      <c r="M400" s="16">
        <f t="shared" si="5"/>
        <v>1600</v>
      </c>
      <c r="N400" s="21">
        <f t="shared" si="6"/>
        <v>6</v>
      </c>
    </row>
    <row r="401" ht="13.5" customHeight="1">
      <c r="A401" s="2"/>
      <c r="B401" s="19" t="s">
        <v>1068</v>
      </c>
      <c r="C401" s="3" t="s">
        <v>1069</v>
      </c>
      <c r="D401" s="6">
        <v>1.0</v>
      </c>
      <c r="E401" s="6">
        <v>1.0</v>
      </c>
      <c r="F401" s="6">
        <v>1.0</v>
      </c>
      <c r="G401" s="6">
        <v>2.0</v>
      </c>
      <c r="H401" s="21">
        <v>850.0</v>
      </c>
      <c r="I401" s="21">
        <v>1.0</v>
      </c>
      <c r="J401" s="21"/>
      <c r="K401" s="21"/>
      <c r="L401" s="21"/>
      <c r="M401" s="16">
        <f t="shared" si="5"/>
        <v>1700</v>
      </c>
      <c r="N401" s="21">
        <f t="shared" si="6"/>
        <v>6</v>
      </c>
    </row>
    <row r="402" ht="13.5" customHeight="1">
      <c r="A402" s="2"/>
      <c r="B402" s="19" t="s">
        <v>1079</v>
      </c>
      <c r="C402" t="s">
        <v>1080</v>
      </c>
      <c r="D402" s="6">
        <v>1.0</v>
      </c>
      <c r="E402" s="6">
        <v>1.0</v>
      </c>
      <c r="F402" s="6">
        <v>1.0</v>
      </c>
      <c r="G402">
        <v>1.0</v>
      </c>
      <c r="H402" s="21">
        <v>500.0</v>
      </c>
      <c r="I402" s="21">
        <v>1.0</v>
      </c>
      <c r="J402" s="21"/>
      <c r="K402" s="21"/>
      <c r="L402" s="21"/>
      <c r="M402" s="16">
        <f t="shared" si="5"/>
        <v>500</v>
      </c>
      <c r="N402" s="21">
        <f t="shared" si="6"/>
        <v>17</v>
      </c>
    </row>
    <row r="403" ht="13.5" customHeight="1">
      <c r="A403" s="2"/>
      <c r="B403" s="19" t="s">
        <v>1085</v>
      </c>
      <c r="C403" t="s">
        <v>1087</v>
      </c>
      <c r="D403" s="6">
        <v>1.0</v>
      </c>
      <c r="E403" s="6">
        <v>1.0</v>
      </c>
      <c r="F403" s="6">
        <v>1.0</v>
      </c>
      <c r="G403">
        <v>1.0</v>
      </c>
      <c r="H403" s="21">
        <v>500.0</v>
      </c>
      <c r="I403" s="21">
        <v>1.0</v>
      </c>
      <c r="J403" s="21"/>
      <c r="K403" s="21">
        <v>100.0</v>
      </c>
      <c r="L403" s="21"/>
      <c r="M403" s="16">
        <f t="shared" si="5"/>
        <v>600</v>
      </c>
      <c r="N403" s="21">
        <f t="shared" si="6"/>
        <v>14</v>
      </c>
    </row>
    <row r="404" ht="13.5" customHeight="1">
      <c r="A404" s="2"/>
      <c r="B404" s="19" t="s">
        <v>1095</v>
      </c>
      <c r="C404" t="s">
        <v>1097</v>
      </c>
      <c r="D404" s="6">
        <v>1.0</v>
      </c>
      <c r="E404" s="6">
        <v>1.0</v>
      </c>
      <c r="F404" s="6">
        <v>1.0</v>
      </c>
      <c r="G404">
        <v>1.0</v>
      </c>
      <c r="H404" s="21">
        <v>500.0</v>
      </c>
      <c r="I404" s="21">
        <v>1.0</v>
      </c>
      <c r="J404" s="21"/>
      <c r="K404" s="21"/>
      <c r="L404" s="21"/>
      <c r="M404" s="16">
        <f t="shared" si="5"/>
        <v>500</v>
      </c>
      <c r="N404" s="21">
        <f t="shared" si="6"/>
        <v>17</v>
      </c>
    </row>
    <row r="405" ht="13.5" customHeight="1">
      <c r="A405" s="2"/>
      <c r="B405" s="19" t="s">
        <v>1105</v>
      </c>
      <c r="C405" t="s">
        <v>1106</v>
      </c>
      <c r="D405" s="6">
        <v>1.0</v>
      </c>
      <c r="E405" s="6">
        <v>1.0</v>
      </c>
      <c r="F405" s="6">
        <v>1.0</v>
      </c>
      <c r="G405">
        <v>1.0</v>
      </c>
      <c r="H405" s="21">
        <v>500.0</v>
      </c>
      <c r="I405" s="21">
        <v>1.0</v>
      </c>
      <c r="J405" s="21"/>
      <c r="K405" s="21">
        <v>100.0</v>
      </c>
      <c r="L405" s="21"/>
      <c r="M405" s="16">
        <f t="shared" si="5"/>
        <v>600</v>
      </c>
      <c r="N405" s="21">
        <f t="shared" si="6"/>
        <v>14</v>
      </c>
    </row>
    <row r="406" ht="13.5" customHeight="1">
      <c r="A406" s="2"/>
      <c r="B406" s="19" t="s">
        <v>1111</v>
      </c>
      <c r="C406" t="s">
        <v>1113</v>
      </c>
      <c r="D406" s="6">
        <v>1.0</v>
      </c>
      <c r="E406" s="6">
        <v>1.0</v>
      </c>
      <c r="F406" s="6">
        <v>1.0</v>
      </c>
      <c r="G406">
        <v>1.0</v>
      </c>
      <c r="H406" s="21">
        <v>500.0</v>
      </c>
      <c r="I406" s="21">
        <v>1.0</v>
      </c>
      <c r="J406" s="21"/>
      <c r="K406" s="21"/>
      <c r="L406" s="21"/>
      <c r="M406" s="16">
        <f t="shared" si="5"/>
        <v>500</v>
      </c>
      <c r="N406" s="21">
        <f t="shared" si="6"/>
        <v>17</v>
      </c>
    </row>
    <row r="407" ht="13.5" customHeight="1">
      <c r="A407" s="2"/>
      <c r="B407" s="19" t="s">
        <v>1121</v>
      </c>
      <c r="C407" t="s">
        <v>1122</v>
      </c>
      <c r="D407" s="6">
        <v>1.0</v>
      </c>
      <c r="E407" s="6">
        <v>1.0</v>
      </c>
      <c r="F407" s="6">
        <v>1.0</v>
      </c>
      <c r="G407">
        <v>1.0</v>
      </c>
      <c r="H407" s="21">
        <v>500.0</v>
      </c>
      <c r="I407" s="21">
        <v>1.0</v>
      </c>
      <c r="J407" s="21"/>
      <c r="K407" s="21">
        <v>100.0</v>
      </c>
      <c r="L407" s="21"/>
      <c r="M407" s="16">
        <f t="shared" si="5"/>
        <v>600</v>
      </c>
      <c r="N407" s="21">
        <f t="shared" si="6"/>
        <v>14</v>
      </c>
    </row>
    <row r="408" ht="13.5" customHeight="1">
      <c r="A408" s="2"/>
      <c r="B408" s="19" t="s">
        <v>1129</v>
      </c>
      <c r="C408" s="3" t="s">
        <v>1131</v>
      </c>
      <c r="D408" s="6">
        <v>1.0</v>
      </c>
      <c r="E408" s="6">
        <v>1.0</v>
      </c>
      <c r="F408" s="6">
        <v>1.0</v>
      </c>
      <c r="G408" s="6">
        <v>3.0</v>
      </c>
      <c r="H408" s="21">
        <v>1000.0</v>
      </c>
      <c r="I408" s="21">
        <v>1.0</v>
      </c>
      <c r="J408" s="21"/>
      <c r="K408" s="21"/>
      <c r="L408" s="21"/>
      <c r="M408" s="16">
        <f t="shared" si="5"/>
        <v>3000</v>
      </c>
      <c r="N408" s="21">
        <f t="shared" si="6"/>
        <v>3</v>
      </c>
    </row>
    <row r="409" ht="13.5" customHeight="1">
      <c r="A409" s="2"/>
      <c r="B409" s="19" t="s">
        <v>1138</v>
      </c>
      <c r="C409" s="3" t="s">
        <v>1139</v>
      </c>
      <c r="D409" s="6">
        <v>1.0</v>
      </c>
      <c r="E409" s="6">
        <v>1.0</v>
      </c>
      <c r="F409" s="6">
        <v>1.0</v>
      </c>
      <c r="G409" s="6">
        <v>3.0</v>
      </c>
      <c r="H409" s="21">
        <v>1000.0</v>
      </c>
      <c r="I409" s="21">
        <v>1.0</v>
      </c>
      <c r="J409" s="21"/>
      <c r="K409" s="21"/>
      <c r="L409" s="21"/>
      <c r="M409" s="16">
        <f t="shared" si="5"/>
        <v>3000</v>
      </c>
      <c r="N409" s="21">
        <f t="shared" si="6"/>
        <v>3</v>
      </c>
    </row>
    <row r="410" ht="13.5" customHeight="1">
      <c r="A410" s="2"/>
      <c r="B410" s="19" t="s">
        <v>1145</v>
      </c>
      <c r="C410" s="3" t="s">
        <v>1146</v>
      </c>
      <c r="D410" s="6">
        <v>1.0</v>
      </c>
      <c r="E410" s="6">
        <v>1.0</v>
      </c>
      <c r="F410" s="6">
        <v>1.0</v>
      </c>
      <c r="G410" s="6">
        <v>3.0</v>
      </c>
      <c r="H410" s="21">
        <v>1000.0</v>
      </c>
      <c r="I410" s="21">
        <v>1.0</v>
      </c>
      <c r="J410" s="21"/>
      <c r="K410" s="21"/>
      <c r="L410" s="21"/>
      <c r="M410" s="16">
        <f t="shared" si="5"/>
        <v>3000</v>
      </c>
      <c r="N410" s="21">
        <f t="shared" si="6"/>
        <v>3</v>
      </c>
    </row>
    <row r="411" ht="13.5" customHeight="1">
      <c r="A411" s="2"/>
      <c r="B411" s="19" t="s">
        <v>1153</v>
      </c>
      <c r="C411" s="3" t="s">
        <v>1155</v>
      </c>
      <c r="D411" s="6">
        <v>1.0</v>
      </c>
      <c r="E411" s="6">
        <v>1.0</v>
      </c>
      <c r="F411" s="6">
        <v>1.0</v>
      </c>
      <c r="G411" s="6">
        <v>3.0</v>
      </c>
      <c r="H411" s="21">
        <v>1000.0</v>
      </c>
      <c r="I411" s="21">
        <v>1.0</v>
      </c>
      <c r="J411" s="21"/>
      <c r="K411" s="21"/>
      <c r="L411" s="21"/>
      <c r="M411" s="16">
        <f t="shared" si="5"/>
        <v>3000</v>
      </c>
      <c r="N411" s="21">
        <f t="shared" si="6"/>
        <v>3</v>
      </c>
    </row>
    <row r="412" ht="13.5" customHeight="1">
      <c r="A412" s="2"/>
      <c r="B412" s="19" t="s">
        <v>1163</v>
      </c>
      <c r="C412" s="3" t="s">
        <v>1165</v>
      </c>
      <c r="D412" s="6">
        <v>1.0</v>
      </c>
      <c r="E412" s="6">
        <v>1.0</v>
      </c>
      <c r="F412" s="6">
        <v>1.0</v>
      </c>
      <c r="G412" s="6">
        <v>2.0</v>
      </c>
      <c r="H412" s="21">
        <v>800.0</v>
      </c>
      <c r="I412" s="21">
        <v>1.0</v>
      </c>
      <c r="J412" s="21"/>
      <c r="K412" s="21"/>
      <c r="L412" s="21"/>
      <c r="M412" s="16">
        <f t="shared" si="5"/>
        <v>1600</v>
      </c>
      <c r="N412" s="21">
        <f t="shared" si="6"/>
        <v>6</v>
      </c>
    </row>
    <row r="413" ht="13.5" customHeight="1">
      <c r="A413" s="2"/>
      <c r="B413" s="19" t="s">
        <v>1172</v>
      </c>
      <c r="C413" s="3" t="s">
        <v>1174</v>
      </c>
      <c r="D413" s="6">
        <v>1.0</v>
      </c>
      <c r="E413" s="6">
        <v>1.0</v>
      </c>
      <c r="F413" s="6">
        <v>1.0</v>
      </c>
      <c r="G413" s="6">
        <v>2.0</v>
      </c>
      <c r="H413" s="21">
        <v>800.0</v>
      </c>
      <c r="I413" s="21">
        <v>1.0</v>
      </c>
      <c r="J413" s="21"/>
      <c r="K413" s="21"/>
      <c r="L413" s="21"/>
      <c r="M413" s="16">
        <f t="shared" si="5"/>
        <v>1600</v>
      </c>
      <c r="N413" s="21">
        <f t="shared" si="6"/>
        <v>6</v>
      </c>
    </row>
    <row r="414" ht="13.5" customHeight="1">
      <c r="A414" s="2" t="s">
        <v>1181</v>
      </c>
      <c r="B414" s="2"/>
      <c r="D414" s="6"/>
      <c r="E414" s="6"/>
      <c r="F414" s="6"/>
      <c r="H414" s="21"/>
      <c r="I414" s="21">
        <v>1.0</v>
      </c>
      <c r="J414" s="21"/>
      <c r="K414" s="21"/>
      <c r="L414" s="21"/>
      <c r="M414" s="16" t="str">
        <f t="shared" si="5"/>
        <v/>
      </c>
      <c r="N414" s="21" t="str">
        <f t="shared" si="6"/>
        <v/>
      </c>
    </row>
    <row r="415" ht="13.5" customHeight="1">
      <c r="A415" s="2"/>
      <c r="B415" s="19" t="s">
        <v>1186</v>
      </c>
      <c r="C415" s="3" t="s">
        <v>683</v>
      </c>
      <c r="D415" s="6">
        <v>1.0</v>
      </c>
      <c r="E415" s="6">
        <v>1.0</v>
      </c>
      <c r="F415" s="6">
        <v>1.0</v>
      </c>
      <c r="G415" s="32">
        <v>1.0</v>
      </c>
      <c r="H415" s="21">
        <v>100.0</v>
      </c>
      <c r="I415" s="21">
        <v>1.0</v>
      </c>
      <c r="J415" s="21"/>
      <c r="K415" s="21"/>
      <c r="L415" s="21"/>
      <c r="M415" s="16">
        <f t="shared" si="5"/>
        <v>100</v>
      </c>
      <c r="N415" s="21">
        <f t="shared" si="6"/>
        <v>50</v>
      </c>
    </row>
    <row r="416" ht="13.5" customHeight="1">
      <c r="A416" s="2"/>
      <c r="B416" s="19" t="s">
        <v>1192</v>
      </c>
      <c r="C416" s="3" t="s">
        <v>678</v>
      </c>
      <c r="D416" s="6">
        <v>1.0</v>
      </c>
      <c r="E416" s="6">
        <v>1.0</v>
      </c>
      <c r="F416" s="6">
        <v>1.0</v>
      </c>
      <c r="G416" s="32">
        <v>1.0</v>
      </c>
      <c r="H416" s="21">
        <v>100.0</v>
      </c>
      <c r="I416" s="21">
        <v>1.0</v>
      </c>
      <c r="J416" s="21"/>
      <c r="K416" s="21"/>
      <c r="L416" s="21"/>
      <c r="M416" s="16">
        <f t="shared" si="5"/>
        <v>100</v>
      </c>
      <c r="N416" s="21">
        <f t="shared" si="6"/>
        <v>50</v>
      </c>
    </row>
    <row r="417" ht="13.5" customHeight="1">
      <c r="A417" s="2"/>
      <c r="B417" s="19" t="s">
        <v>1199</v>
      </c>
      <c r="C417" s="3" t="s">
        <v>671</v>
      </c>
      <c r="D417" s="6">
        <v>1.0</v>
      </c>
      <c r="E417" s="6">
        <v>1.0</v>
      </c>
      <c r="F417" s="6">
        <v>1.0</v>
      </c>
      <c r="G417" s="32">
        <v>1.0</v>
      </c>
      <c r="H417" s="21">
        <v>100.0</v>
      </c>
      <c r="I417" s="21">
        <v>1.0</v>
      </c>
      <c r="J417" s="21"/>
      <c r="K417" s="21"/>
      <c r="L417" s="21"/>
      <c r="M417" s="16">
        <f t="shared" si="5"/>
        <v>100</v>
      </c>
      <c r="N417" s="21">
        <f t="shared" si="6"/>
        <v>50</v>
      </c>
    </row>
    <row r="418" ht="13.5" customHeight="1">
      <c r="A418" s="2"/>
      <c r="B418" s="19" t="s">
        <v>1210</v>
      </c>
      <c r="C418" s="3" t="s">
        <v>674</v>
      </c>
      <c r="D418" s="6">
        <v>1.0</v>
      </c>
      <c r="E418" s="6">
        <v>1.0</v>
      </c>
      <c r="F418" s="6">
        <v>1.0</v>
      </c>
      <c r="G418" s="32">
        <v>1.0</v>
      </c>
      <c r="H418" s="21">
        <v>100.0</v>
      </c>
      <c r="I418" s="21">
        <v>1.0</v>
      </c>
      <c r="J418" s="21"/>
      <c r="K418" s="21"/>
      <c r="L418" s="21"/>
      <c r="M418" s="16">
        <f t="shared" si="5"/>
        <v>100</v>
      </c>
      <c r="N418" s="21">
        <f t="shared" si="6"/>
        <v>50</v>
      </c>
    </row>
    <row r="419" ht="13.5" customHeight="1">
      <c r="A419" s="2"/>
      <c r="B419" s="19" t="s">
        <v>1220</v>
      </c>
      <c r="C419" s="3" t="s">
        <v>716</v>
      </c>
      <c r="D419" s="6">
        <v>1.0</v>
      </c>
      <c r="E419" s="6">
        <v>1.0</v>
      </c>
      <c r="F419" s="6">
        <v>1.0</v>
      </c>
      <c r="G419" s="32">
        <v>2.0</v>
      </c>
      <c r="H419" s="21">
        <v>300.0</v>
      </c>
      <c r="I419" s="21">
        <v>1.0</v>
      </c>
      <c r="J419" s="21"/>
      <c r="K419" s="21"/>
      <c r="L419" s="21"/>
      <c r="M419" s="16">
        <f t="shared" si="5"/>
        <v>600</v>
      </c>
      <c r="N419" s="21">
        <f t="shared" si="6"/>
        <v>14</v>
      </c>
    </row>
    <row r="420" ht="13.5" customHeight="1">
      <c r="A420" s="2"/>
      <c r="B420" s="19" t="s">
        <v>1233</v>
      </c>
      <c r="C420" s="3" t="s">
        <v>718</v>
      </c>
      <c r="D420" s="6">
        <v>1.0</v>
      </c>
      <c r="E420" s="6">
        <v>1.0</v>
      </c>
      <c r="F420" s="6">
        <v>1.0</v>
      </c>
      <c r="G420" s="32">
        <v>2.0</v>
      </c>
      <c r="H420" s="21">
        <v>300.0</v>
      </c>
      <c r="I420" s="21">
        <v>1.0</v>
      </c>
      <c r="J420" s="21"/>
      <c r="K420" s="21"/>
      <c r="L420" s="21"/>
      <c r="M420" s="16">
        <f t="shared" si="5"/>
        <v>600</v>
      </c>
      <c r="N420" s="21">
        <f t="shared" si="6"/>
        <v>14</v>
      </c>
    </row>
    <row r="421" ht="13.5" customHeight="1">
      <c r="A421" s="2"/>
      <c r="B421" s="19" t="s">
        <v>1240</v>
      </c>
      <c r="C421" s="3" t="s">
        <v>719</v>
      </c>
      <c r="D421" s="6">
        <v>1.0</v>
      </c>
      <c r="E421" s="6">
        <v>1.0</v>
      </c>
      <c r="F421" s="6">
        <v>1.0</v>
      </c>
      <c r="G421" s="32">
        <v>2.0</v>
      </c>
      <c r="H421" s="21">
        <v>300.0</v>
      </c>
      <c r="I421" s="21">
        <v>1.0</v>
      </c>
      <c r="J421" s="21"/>
      <c r="K421" s="21"/>
      <c r="L421" s="21"/>
      <c r="M421" s="16">
        <f t="shared" si="5"/>
        <v>600</v>
      </c>
      <c r="N421" s="21">
        <f t="shared" si="6"/>
        <v>14</v>
      </c>
    </row>
    <row r="422" ht="13.5" customHeight="1">
      <c r="A422" s="2"/>
      <c r="B422" s="19" t="s">
        <v>1247</v>
      </c>
      <c r="C422" s="3" t="s">
        <v>688</v>
      </c>
      <c r="D422" s="6">
        <v>1.0</v>
      </c>
      <c r="E422" s="6">
        <v>1.0</v>
      </c>
      <c r="F422" s="6">
        <v>1.0</v>
      </c>
      <c r="G422" s="32">
        <v>1.0</v>
      </c>
      <c r="H422" s="21">
        <v>200.0</v>
      </c>
      <c r="I422" s="21">
        <v>1.0</v>
      </c>
      <c r="J422" s="21"/>
      <c r="K422" s="21"/>
      <c r="L422" s="21"/>
      <c r="M422" s="16">
        <f t="shared" si="5"/>
        <v>200</v>
      </c>
      <c r="N422" s="21">
        <f t="shared" si="6"/>
        <v>33</v>
      </c>
    </row>
    <row r="423" ht="13.5" customHeight="1">
      <c r="A423" s="2"/>
      <c r="B423" s="19" t="s">
        <v>1254</v>
      </c>
      <c r="C423" s="3" t="s">
        <v>694</v>
      </c>
      <c r="D423" s="6">
        <v>1.0</v>
      </c>
      <c r="E423" s="6">
        <v>1.0</v>
      </c>
      <c r="F423" s="6">
        <v>1.0</v>
      </c>
      <c r="G423" s="32">
        <v>2.0</v>
      </c>
      <c r="H423" s="21">
        <v>200.0</v>
      </c>
      <c r="I423" s="21">
        <v>1.0</v>
      </c>
      <c r="J423" s="21"/>
      <c r="K423" s="21"/>
      <c r="L423" s="21"/>
      <c r="M423" s="16">
        <f t="shared" si="5"/>
        <v>400</v>
      </c>
      <c r="N423" s="21">
        <f t="shared" si="6"/>
        <v>20</v>
      </c>
    </row>
    <row r="424" ht="13.5" customHeight="1">
      <c r="A424" s="2"/>
      <c r="B424" s="19" t="s">
        <v>1264</v>
      </c>
      <c r="C424" s="3" t="s">
        <v>689</v>
      </c>
      <c r="D424" s="6">
        <v>1.0</v>
      </c>
      <c r="E424" s="6">
        <v>1.0</v>
      </c>
      <c r="F424" s="6">
        <v>1.0</v>
      </c>
      <c r="G424" s="32">
        <v>1.0</v>
      </c>
      <c r="H424" s="21">
        <v>200.0</v>
      </c>
      <c r="I424" s="21">
        <v>1.0</v>
      </c>
      <c r="J424" s="21"/>
      <c r="K424" s="21"/>
      <c r="L424" s="21"/>
      <c r="M424" s="16">
        <f t="shared" si="5"/>
        <v>200</v>
      </c>
      <c r="N424" s="21">
        <f t="shared" si="6"/>
        <v>33</v>
      </c>
    </row>
    <row r="425" ht="13.5" customHeight="1">
      <c r="A425" s="2"/>
      <c r="B425" s="19" t="s">
        <v>1271</v>
      </c>
      <c r="C425" s="3" t="s">
        <v>690</v>
      </c>
      <c r="D425" s="6">
        <v>1.0</v>
      </c>
      <c r="E425" s="6">
        <v>1.0</v>
      </c>
      <c r="F425" s="6">
        <v>1.0</v>
      </c>
      <c r="G425" s="32">
        <v>1.0</v>
      </c>
      <c r="H425" s="21">
        <v>100.0</v>
      </c>
      <c r="I425" s="21">
        <v>1.0</v>
      </c>
      <c r="J425" s="21"/>
      <c r="K425" s="21"/>
      <c r="L425" s="21"/>
      <c r="M425" s="16">
        <f t="shared" si="5"/>
        <v>100</v>
      </c>
      <c r="N425" s="21">
        <f t="shared" si="6"/>
        <v>50</v>
      </c>
    </row>
    <row r="426" ht="13.5" customHeight="1">
      <c r="A426" s="2"/>
      <c r="B426" s="19" t="s">
        <v>1281</v>
      </c>
      <c r="C426" s="3" t="s">
        <v>666</v>
      </c>
      <c r="D426" s="6">
        <v>1.0</v>
      </c>
      <c r="E426" s="6">
        <v>1.0</v>
      </c>
      <c r="F426" s="6">
        <v>1.0</v>
      </c>
      <c r="G426" s="32">
        <v>1.0</v>
      </c>
      <c r="H426" s="21">
        <v>100.0</v>
      </c>
      <c r="I426" s="21">
        <v>1.0</v>
      </c>
      <c r="J426" s="21"/>
      <c r="K426" s="21"/>
      <c r="L426" s="21"/>
      <c r="M426" s="16">
        <f t="shared" si="5"/>
        <v>100</v>
      </c>
      <c r="N426" s="21">
        <f t="shared" si="6"/>
        <v>50</v>
      </c>
    </row>
    <row r="427" ht="13.5" customHeight="1">
      <c r="A427" s="2"/>
      <c r="B427" s="19" t="s">
        <v>1290</v>
      </c>
      <c r="C427" s="3" t="s">
        <v>721</v>
      </c>
      <c r="D427" s="6">
        <v>1.0</v>
      </c>
      <c r="E427" s="6">
        <v>1.0</v>
      </c>
      <c r="F427" s="6">
        <v>1.0</v>
      </c>
      <c r="G427" s="32">
        <v>2.0</v>
      </c>
      <c r="H427" s="21">
        <v>300.0</v>
      </c>
      <c r="I427" s="21">
        <v>1.0</v>
      </c>
      <c r="J427" s="21"/>
      <c r="K427" s="21"/>
      <c r="L427" s="21"/>
      <c r="M427" s="16">
        <f t="shared" si="5"/>
        <v>600</v>
      </c>
      <c r="N427" s="21">
        <f t="shared" si="6"/>
        <v>14</v>
      </c>
    </row>
    <row r="428" ht="13.5" customHeight="1">
      <c r="A428" s="2"/>
      <c r="B428" s="19" t="s">
        <v>1297</v>
      </c>
      <c r="C428" s="3" t="s">
        <v>724</v>
      </c>
      <c r="D428" s="6">
        <v>1.0</v>
      </c>
      <c r="E428" s="6">
        <v>1.0</v>
      </c>
      <c r="F428" s="6">
        <v>1.0</v>
      </c>
      <c r="G428" s="32">
        <v>2.0</v>
      </c>
      <c r="H428" s="21">
        <v>300.0</v>
      </c>
      <c r="I428" s="21">
        <v>1.0</v>
      </c>
      <c r="J428" s="21"/>
      <c r="K428" s="21"/>
      <c r="L428" s="21"/>
      <c r="M428" s="16">
        <f t="shared" si="5"/>
        <v>600</v>
      </c>
      <c r="N428" s="21">
        <f t="shared" si="6"/>
        <v>14</v>
      </c>
    </row>
    <row r="429" ht="13.5" customHeight="1">
      <c r="A429" s="2"/>
      <c r="B429" s="19" t="s">
        <v>1305</v>
      </c>
      <c r="C429" s="3" t="s">
        <v>727</v>
      </c>
      <c r="D429" s="6">
        <v>1.0</v>
      </c>
      <c r="E429" s="6">
        <v>1.0</v>
      </c>
      <c r="F429" s="6">
        <v>1.0</v>
      </c>
      <c r="G429" s="32">
        <v>2.0</v>
      </c>
      <c r="H429" s="21">
        <v>300.0</v>
      </c>
      <c r="I429" s="21">
        <v>1.0</v>
      </c>
      <c r="J429" s="21"/>
      <c r="K429" s="21"/>
      <c r="L429" s="21"/>
      <c r="M429" s="16">
        <f t="shared" si="5"/>
        <v>600</v>
      </c>
      <c r="N429" s="21">
        <f t="shared" si="6"/>
        <v>14</v>
      </c>
    </row>
    <row r="430" ht="13.5" customHeight="1">
      <c r="A430" s="2"/>
      <c r="B430" s="19" t="s">
        <v>1311</v>
      </c>
      <c r="C430" s="3" t="s">
        <v>728</v>
      </c>
      <c r="D430" s="6">
        <v>1.0</v>
      </c>
      <c r="E430" s="6">
        <v>1.0</v>
      </c>
      <c r="F430" s="6">
        <v>1.0</v>
      </c>
      <c r="G430" s="32">
        <v>2.0</v>
      </c>
      <c r="H430" s="21">
        <v>300.0</v>
      </c>
      <c r="I430" s="21">
        <v>1.0</v>
      </c>
      <c r="J430" s="21"/>
      <c r="K430" s="21"/>
      <c r="L430" s="21"/>
      <c r="M430" s="16">
        <f t="shared" si="5"/>
        <v>600</v>
      </c>
      <c r="N430" s="21">
        <f t="shared" si="6"/>
        <v>14</v>
      </c>
    </row>
    <row r="431" ht="13.5" customHeight="1">
      <c r="A431" s="2"/>
      <c r="B431" s="19" t="s">
        <v>1316</v>
      </c>
      <c r="C431" s="3" t="s">
        <v>741</v>
      </c>
      <c r="D431" s="6">
        <v>1.0</v>
      </c>
      <c r="E431" s="6">
        <v>1.0</v>
      </c>
      <c r="F431" s="6">
        <v>1.0</v>
      </c>
      <c r="G431" s="32">
        <v>2.0</v>
      </c>
      <c r="H431" s="21">
        <v>400.0</v>
      </c>
      <c r="I431" s="21">
        <v>1.0</v>
      </c>
      <c r="J431" s="21"/>
      <c r="K431" s="21"/>
      <c r="L431" s="21"/>
      <c r="M431" s="16">
        <f t="shared" si="5"/>
        <v>800</v>
      </c>
      <c r="N431" s="21">
        <f t="shared" si="6"/>
        <v>11</v>
      </c>
    </row>
    <row r="432" ht="13.5" customHeight="1">
      <c r="A432" s="2"/>
      <c r="B432" s="19" t="s">
        <v>1319</v>
      </c>
      <c r="C432" s="3" t="s">
        <v>693</v>
      </c>
      <c r="D432" s="6">
        <v>1.0</v>
      </c>
      <c r="E432" s="6">
        <v>1.0</v>
      </c>
      <c r="F432" s="6">
        <v>1.0</v>
      </c>
      <c r="G432" s="32">
        <v>1.0</v>
      </c>
      <c r="H432" s="21">
        <v>200.0</v>
      </c>
      <c r="I432" s="21">
        <v>1.0</v>
      </c>
      <c r="J432" s="21"/>
      <c r="K432" s="21"/>
      <c r="L432" s="21"/>
      <c r="M432" s="16">
        <f t="shared" si="5"/>
        <v>200</v>
      </c>
      <c r="N432" s="21">
        <f t="shared" si="6"/>
        <v>33</v>
      </c>
    </row>
    <row r="433" ht="13.5" customHeight="1">
      <c r="A433" s="2"/>
      <c r="B433" s="19" t="s">
        <v>1321</v>
      </c>
      <c r="C433" s="3" t="s">
        <v>647</v>
      </c>
      <c r="D433" s="6">
        <v>1.0</v>
      </c>
      <c r="E433" s="6">
        <v>1.0</v>
      </c>
      <c r="F433" s="6">
        <v>1.0</v>
      </c>
      <c r="G433" s="32">
        <v>1.0</v>
      </c>
      <c r="H433" s="21">
        <v>80.0</v>
      </c>
      <c r="I433" s="21">
        <v>1.0</v>
      </c>
      <c r="J433" s="21"/>
      <c r="K433" s="21"/>
      <c r="L433" s="21"/>
      <c r="M433" s="16">
        <f t="shared" si="5"/>
        <v>80</v>
      </c>
      <c r="N433" s="21">
        <f t="shared" si="6"/>
        <v>56</v>
      </c>
    </row>
    <row r="434" ht="13.5" customHeight="1">
      <c r="A434" s="2"/>
      <c r="B434" s="19" t="s">
        <v>1328</v>
      </c>
      <c r="C434" s="3" t="s">
        <v>733</v>
      </c>
      <c r="D434" s="6">
        <v>0.0</v>
      </c>
      <c r="E434" s="6">
        <v>0.0</v>
      </c>
      <c r="F434" s="6">
        <v>0.0</v>
      </c>
      <c r="G434" s="32">
        <v>3.0</v>
      </c>
      <c r="H434" s="21">
        <v>1000.0</v>
      </c>
      <c r="I434" s="21">
        <v>1.0</v>
      </c>
      <c r="J434" s="21"/>
      <c r="K434" s="21"/>
      <c r="L434" s="21"/>
      <c r="M434" s="16" t="str">
        <f t="shared" si="5"/>
        <v/>
      </c>
      <c r="N434" s="21" t="str">
        <f t="shared" si="6"/>
        <v/>
      </c>
    </row>
    <row r="435" ht="13.5" customHeight="1">
      <c r="A435" s="2"/>
      <c r="B435" s="19" t="s">
        <v>1330</v>
      </c>
      <c r="C435" s="3" t="s">
        <v>695</v>
      </c>
      <c r="D435" s="6">
        <v>1.0</v>
      </c>
      <c r="E435" s="6">
        <v>1.0</v>
      </c>
      <c r="F435" s="6">
        <v>1.0</v>
      </c>
      <c r="G435" s="32">
        <v>3.0</v>
      </c>
      <c r="H435" s="21">
        <v>300.0</v>
      </c>
      <c r="I435" s="21">
        <v>1.0</v>
      </c>
      <c r="J435" s="21"/>
      <c r="K435" s="21"/>
      <c r="L435" s="21"/>
      <c r="M435" s="16">
        <f t="shared" si="5"/>
        <v>900</v>
      </c>
      <c r="N435" s="21">
        <f t="shared" si="6"/>
        <v>10</v>
      </c>
    </row>
    <row r="436" ht="13.5" customHeight="1">
      <c r="A436" s="2"/>
      <c r="B436" s="19" t="s">
        <v>1333</v>
      </c>
      <c r="C436" s="3" t="s">
        <v>738</v>
      </c>
      <c r="D436" s="6">
        <v>1.0</v>
      </c>
      <c r="E436" s="6">
        <v>1.0</v>
      </c>
      <c r="F436" s="6">
        <v>1.0</v>
      </c>
      <c r="G436" s="32">
        <v>2.0</v>
      </c>
      <c r="H436" s="21">
        <v>300.0</v>
      </c>
      <c r="I436" s="21">
        <v>1.0</v>
      </c>
      <c r="J436" s="21"/>
      <c r="K436" s="21"/>
      <c r="L436" s="21"/>
      <c r="M436" s="16">
        <f t="shared" si="5"/>
        <v>600</v>
      </c>
      <c r="N436" s="21">
        <f t="shared" si="6"/>
        <v>14</v>
      </c>
    </row>
    <row r="437" ht="13.5" customHeight="1">
      <c r="A437" s="2"/>
      <c r="B437" s="19" t="s">
        <v>1334</v>
      </c>
      <c r="C437" s="3" t="s">
        <v>1335</v>
      </c>
      <c r="D437" s="6">
        <v>0.0</v>
      </c>
      <c r="E437" s="6">
        <v>0.0</v>
      </c>
      <c r="F437" s="6">
        <v>0.0</v>
      </c>
      <c r="G437" s="32">
        <v>3.0</v>
      </c>
      <c r="H437" s="21">
        <v>500.0</v>
      </c>
      <c r="I437" s="21">
        <v>1.0</v>
      </c>
      <c r="J437" s="21"/>
      <c r="K437" s="21"/>
      <c r="L437" s="21"/>
      <c r="M437" s="16" t="str">
        <f t="shared" si="5"/>
        <v/>
      </c>
      <c r="N437" s="21" t="str">
        <f t="shared" si="6"/>
        <v/>
      </c>
    </row>
    <row r="438" ht="13.5" customHeight="1">
      <c r="A438" s="2"/>
      <c r="B438" s="19" t="s">
        <v>1338</v>
      </c>
      <c r="C438" s="3" t="s">
        <v>1339</v>
      </c>
      <c r="D438" s="6">
        <v>0.0</v>
      </c>
      <c r="E438" s="6">
        <v>0.0</v>
      </c>
      <c r="F438" s="6">
        <v>0.0</v>
      </c>
      <c r="G438" s="32">
        <v>3.0</v>
      </c>
      <c r="H438" s="21">
        <v>500.0</v>
      </c>
      <c r="I438" s="21">
        <v>1.0</v>
      </c>
      <c r="J438" s="21"/>
      <c r="K438" s="21"/>
      <c r="L438" s="21"/>
      <c r="M438" s="16" t="str">
        <f t="shared" si="5"/>
        <v/>
      </c>
      <c r="N438" s="21" t="str">
        <f t="shared" si="6"/>
        <v/>
      </c>
    </row>
    <row r="439" ht="13.5" customHeight="1">
      <c r="A439" s="2"/>
      <c r="B439" s="19" t="s">
        <v>1341</v>
      </c>
      <c r="C439" s="3" t="s">
        <v>653</v>
      </c>
      <c r="D439" s="6">
        <v>1.0</v>
      </c>
      <c r="E439" s="6">
        <v>1.0</v>
      </c>
      <c r="F439" s="6">
        <v>1.0</v>
      </c>
      <c r="G439" s="32">
        <v>1.0</v>
      </c>
      <c r="H439" s="21">
        <v>80.0</v>
      </c>
      <c r="I439" s="21">
        <v>1.0</v>
      </c>
      <c r="J439" s="21"/>
      <c r="K439" s="21"/>
      <c r="L439" s="21"/>
      <c r="M439" s="16">
        <f t="shared" si="5"/>
        <v>80</v>
      </c>
      <c r="N439" s="21">
        <f t="shared" si="6"/>
        <v>56</v>
      </c>
    </row>
    <row r="440" ht="13.5" customHeight="1">
      <c r="A440" s="2"/>
      <c r="B440" s="19" t="s">
        <v>1345</v>
      </c>
      <c r="C440" s="3" t="s">
        <v>1346</v>
      </c>
      <c r="D440" s="6">
        <v>1.0</v>
      </c>
      <c r="E440" s="6">
        <v>1.0</v>
      </c>
      <c r="F440" s="6">
        <v>1.0</v>
      </c>
      <c r="G440">
        <v>1.0</v>
      </c>
      <c r="H440" s="21">
        <v>200.0</v>
      </c>
      <c r="I440" s="21">
        <v>1.0</v>
      </c>
      <c r="J440" s="21"/>
      <c r="K440" s="21"/>
      <c r="L440" s="21"/>
      <c r="M440" s="16">
        <f t="shared" si="5"/>
        <v>200</v>
      </c>
      <c r="N440" s="21">
        <f t="shared" si="6"/>
        <v>33</v>
      </c>
    </row>
    <row r="441" ht="13.5" customHeight="1">
      <c r="A441" s="2"/>
      <c r="B441" s="19" t="s">
        <v>1348</v>
      </c>
      <c r="C441" s="3" t="s">
        <v>1349</v>
      </c>
      <c r="D441" s="6">
        <v>1.0</v>
      </c>
      <c r="E441" s="6">
        <v>1.0</v>
      </c>
      <c r="F441" s="6">
        <v>1.0</v>
      </c>
      <c r="G441">
        <v>1.0</v>
      </c>
      <c r="H441" s="21">
        <v>100.0</v>
      </c>
      <c r="I441" s="21">
        <v>1.0</v>
      </c>
      <c r="J441" s="21"/>
      <c r="K441" s="21"/>
      <c r="L441" s="21"/>
      <c r="M441" s="16">
        <f t="shared" si="5"/>
        <v>100</v>
      </c>
      <c r="N441" s="21">
        <f t="shared" si="6"/>
        <v>50</v>
      </c>
    </row>
    <row r="442" ht="13.5" customHeight="1">
      <c r="A442" s="2"/>
      <c r="B442" s="19" t="s">
        <v>1354</v>
      </c>
      <c r="C442" s="3" t="s">
        <v>1355</v>
      </c>
      <c r="D442" s="6">
        <v>1.0</v>
      </c>
      <c r="E442" s="6">
        <v>1.0</v>
      </c>
      <c r="F442" s="6">
        <v>1.0</v>
      </c>
      <c r="G442">
        <v>1.0</v>
      </c>
      <c r="H442" s="21">
        <v>150.0</v>
      </c>
      <c r="I442" s="21">
        <v>1.0</v>
      </c>
      <c r="J442" s="21"/>
      <c r="K442" s="21"/>
      <c r="L442" s="21"/>
      <c r="M442" s="16">
        <f t="shared" si="5"/>
        <v>150</v>
      </c>
      <c r="N442" s="21">
        <f t="shared" si="6"/>
        <v>40</v>
      </c>
    </row>
    <row r="443" ht="13.5" customHeight="1">
      <c r="A443" s="2"/>
      <c r="B443" s="19" t="s">
        <v>1360</v>
      </c>
      <c r="C443" s="3" t="s">
        <v>1361</v>
      </c>
      <c r="D443" s="6">
        <v>1.0</v>
      </c>
      <c r="E443" s="6">
        <v>1.0</v>
      </c>
      <c r="F443" s="6">
        <v>1.0</v>
      </c>
      <c r="G443" s="6">
        <v>3.0</v>
      </c>
      <c r="H443" s="21">
        <v>150.0</v>
      </c>
      <c r="I443" s="21">
        <v>1.0</v>
      </c>
      <c r="J443" s="21"/>
      <c r="K443" s="21"/>
      <c r="L443" s="21"/>
      <c r="M443" s="16">
        <f t="shared" si="5"/>
        <v>450</v>
      </c>
      <c r="N443" s="21">
        <f t="shared" si="6"/>
        <v>18</v>
      </c>
    </row>
    <row r="444" ht="13.5" customHeight="1">
      <c r="A444" s="2"/>
      <c r="B444" s="19" t="s">
        <v>1370</v>
      </c>
      <c r="C444" s="3" t="s">
        <v>1372</v>
      </c>
      <c r="D444" s="6">
        <v>1.0</v>
      </c>
      <c r="E444" s="6">
        <v>1.0</v>
      </c>
      <c r="F444" s="6">
        <v>1.0</v>
      </c>
      <c r="G444" s="6">
        <v>3.0</v>
      </c>
      <c r="H444" s="21">
        <v>200.0</v>
      </c>
      <c r="I444" s="21">
        <v>1.0</v>
      </c>
      <c r="J444" s="21"/>
      <c r="K444" s="21"/>
      <c r="L444" s="21"/>
      <c r="M444" s="16">
        <f t="shared" si="5"/>
        <v>600</v>
      </c>
      <c r="N444" s="21">
        <f t="shared" si="6"/>
        <v>14</v>
      </c>
    </row>
    <row r="445" ht="13.5" customHeight="1">
      <c r="A445" s="2"/>
      <c r="B445" s="19" t="s">
        <v>1384</v>
      </c>
      <c r="C445" s="3" t="s">
        <v>1386</v>
      </c>
      <c r="D445" s="6">
        <v>1.0</v>
      </c>
      <c r="E445" s="6">
        <v>1.0</v>
      </c>
      <c r="F445" s="6">
        <v>1.0</v>
      </c>
      <c r="G445">
        <v>1.0</v>
      </c>
      <c r="H445" s="21">
        <v>100.0</v>
      </c>
      <c r="I445" s="21">
        <v>1.0</v>
      </c>
      <c r="J445" s="21"/>
      <c r="K445" s="21"/>
      <c r="L445" s="21"/>
      <c r="M445" s="16">
        <f t="shared" si="5"/>
        <v>100</v>
      </c>
      <c r="N445" s="21">
        <f t="shared" si="6"/>
        <v>50</v>
      </c>
    </row>
    <row r="446" ht="13.5" customHeight="1">
      <c r="A446" s="2"/>
      <c r="B446" s="19" t="s">
        <v>1393</v>
      </c>
      <c r="C446" s="3" t="s">
        <v>1394</v>
      </c>
      <c r="D446" s="6">
        <v>1.0</v>
      </c>
      <c r="E446" s="6">
        <v>1.0</v>
      </c>
      <c r="F446" s="6">
        <v>1.0</v>
      </c>
      <c r="G446">
        <v>1.0</v>
      </c>
      <c r="H446" s="21">
        <v>100.0</v>
      </c>
      <c r="I446" s="21">
        <v>1.0</v>
      </c>
      <c r="J446" s="21"/>
      <c r="K446" s="21"/>
      <c r="L446" s="21"/>
      <c r="M446" s="16">
        <f t="shared" si="5"/>
        <v>100</v>
      </c>
      <c r="N446" s="21">
        <f t="shared" si="6"/>
        <v>50</v>
      </c>
    </row>
    <row r="447" ht="13.5" customHeight="1">
      <c r="A447" s="2"/>
      <c r="B447" s="19" t="s">
        <v>1403</v>
      </c>
      <c r="C447" s="3" t="s">
        <v>1404</v>
      </c>
      <c r="D447" s="6">
        <v>1.0</v>
      </c>
      <c r="E447" s="6">
        <v>1.0</v>
      </c>
      <c r="F447" s="6">
        <v>1.0</v>
      </c>
      <c r="G447">
        <v>1.0</v>
      </c>
      <c r="H447" s="21">
        <v>200.0</v>
      </c>
      <c r="I447" s="21">
        <v>1.0</v>
      </c>
      <c r="J447" s="21"/>
      <c r="K447" s="21"/>
      <c r="L447" s="21"/>
      <c r="M447" s="16">
        <f t="shared" si="5"/>
        <v>200</v>
      </c>
      <c r="N447" s="21">
        <f t="shared" si="6"/>
        <v>33</v>
      </c>
    </row>
    <row r="448" ht="13.5" customHeight="1">
      <c r="A448" s="2"/>
      <c r="B448" s="19" t="s">
        <v>1415</v>
      </c>
      <c r="C448" s="3" t="s">
        <v>1417</v>
      </c>
      <c r="D448" s="6">
        <v>1.0</v>
      </c>
      <c r="E448" s="6">
        <v>1.0</v>
      </c>
      <c r="F448" s="6">
        <v>1.0</v>
      </c>
      <c r="G448">
        <v>1.0</v>
      </c>
      <c r="H448" s="21">
        <v>150.0</v>
      </c>
      <c r="I448" s="21">
        <v>1.0</v>
      </c>
      <c r="J448" s="21"/>
      <c r="K448" s="21"/>
      <c r="L448" s="21"/>
      <c r="M448" s="16">
        <f t="shared" si="5"/>
        <v>150</v>
      </c>
      <c r="N448" s="21">
        <f t="shared" si="6"/>
        <v>40</v>
      </c>
    </row>
    <row r="449" ht="13.5" customHeight="1">
      <c r="A449" s="2"/>
      <c r="B449" s="19" t="s">
        <v>1428</v>
      </c>
      <c r="C449" s="3" t="s">
        <v>1429</v>
      </c>
      <c r="D449" s="6">
        <v>1.0</v>
      </c>
      <c r="E449" s="6">
        <v>1.0</v>
      </c>
      <c r="F449" s="6">
        <v>1.0</v>
      </c>
      <c r="G449">
        <v>1.0</v>
      </c>
      <c r="H449" s="21">
        <v>100.0</v>
      </c>
      <c r="I449" s="21">
        <v>1.0</v>
      </c>
      <c r="J449" s="21"/>
      <c r="K449" s="21"/>
      <c r="L449" s="21"/>
      <c r="M449" s="16">
        <f t="shared" si="5"/>
        <v>100</v>
      </c>
      <c r="N449" s="21">
        <f t="shared" si="6"/>
        <v>50</v>
      </c>
    </row>
    <row r="450" ht="13.5" customHeight="1">
      <c r="A450" s="2"/>
      <c r="B450" s="19" t="s">
        <v>1439</v>
      </c>
      <c r="C450" s="3" t="s">
        <v>1441</v>
      </c>
      <c r="D450" s="6">
        <v>1.0</v>
      </c>
      <c r="E450" s="6">
        <v>1.0</v>
      </c>
      <c r="F450" s="6">
        <v>1.0</v>
      </c>
      <c r="G450">
        <v>1.0</v>
      </c>
      <c r="H450" s="21">
        <v>100.0</v>
      </c>
      <c r="I450" s="21">
        <v>1.0</v>
      </c>
      <c r="J450" s="21"/>
      <c r="K450" s="21"/>
      <c r="L450" s="21"/>
      <c r="M450" s="16">
        <f t="shared" si="5"/>
        <v>100</v>
      </c>
      <c r="N450" s="21">
        <f t="shared" si="6"/>
        <v>50</v>
      </c>
    </row>
    <row r="451" ht="13.5" customHeight="1">
      <c r="A451" s="2"/>
      <c r="B451" s="19" t="s">
        <v>1450</v>
      </c>
      <c r="C451" s="3" t="s">
        <v>1451</v>
      </c>
      <c r="D451" s="6">
        <v>1.0</v>
      </c>
      <c r="E451" s="6">
        <v>1.0</v>
      </c>
      <c r="F451" s="6">
        <v>1.0</v>
      </c>
      <c r="G451" s="6">
        <v>2.0</v>
      </c>
      <c r="H451" s="21">
        <v>200.0</v>
      </c>
      <c r="I451" s="21">
        <v>1.0</v>
      </c>
      <c r="J451" s="21"/>
      <c r="K451" s="21"/>
      <c r="L451" s="21"/>
      <c r="M451" s="16">
        <f t="shared" si="5"/>
        <v>400</v>
      </c>
      <c r="N451" s="21">
        <f t="shared" si="6"/>
        <v>20</v>
      </c>
    </row>
    <row r="452" ht="13.5" customHeight="1">
      <c r="A452" s="2"/>
      <c r="B452" s="19" t="s">
        <v>1463</v>
      </c>
      <c r="C452" s="3" t="s">
        <v>1465</v>
      </c>
      <c r="D452" s="6">
        <v>1.0</v>
      </c>
      <c r="E452" s="6">
        <v>1.0</v>
      </c>
      <c r="F452" s="6">
        <v>1.0</v>
      </c>
      <c r="G452" s="6">
        <v>2.0</v>
      </c>
      <c r="H452" s="21">
        <v>300.0</v>
      </c>
      <c r="I452" s="21">
        <v>1.0</v>
      </c>
      <c r="J452" s="21"/>
      <c r="K452" s="21"/>
      <c r="L452" s="21"/>
      <c r="M452" s="16">
        <f t="shared" si="5"/>
        <v>600</v>
      </c>
      <c r="N452" s="21">
        <f t="shared" si="6"/>
        <v>14</v>
      </c>
    </row>
    <row r="453" ht="13.5" customHeight="1">
      <c r="A453" s="2"/>
      <c r="B453" s="19" t="s">
        <v>1480</v>
      </c>
      <c r="C453" s="3" t="s">
        <v>1482</v>
      </c>
      <c r="D453" s="6">
        <v>1.0</v>
      </c>
      <c r="E453" s="6">
        <v>1.0</v>
      </c>
      <c r="F453" s="6">
        <v>1.0</v>
      </c>
      <c r="G453">
        <v>1.0</v>
      </c>
      <c r="H453" s="21">
        <v>150.0</v>
      </c>
      <c r="I453" s="21">
        <v>1.0</v>
      </c>
      <c r="J453" s="21"/>
      <c r="K453" s="21"/>
      <c r="L453" s="21"/>
      <c r="M453" s="16">
        <f t="shared" si="5"/>
        <v>150</v>
      </c>
      <c r="N453" s="21">
        <f t="shared" si="6"/>
        <v>40</v>
      </c>
    </row>
    <row r="454" ht="13.5" customHeight="1">
      <c r="A454" s="2"/>
      <c r="B454" s="19" t="s">
        <v>1492</v>
      </c>
      <c r="C454" s="3" t="s">
        <v>1494</v>
      </c>
      <c r="D454" s="6">
        <v>1.0</v>
      </c>
      <c r="E454" s="6">
        <v>1.0</v>
      </c>
      <c r="F454" s="6">
        <v>1.0</v>
      </c>
      <c r="G454">
        <v>1.0</v>
      </c>
      <c r="H454" s="21">
        <v>200.0</v>
      </c>
      <c r="I454" s="21">
        <v>1.0</v>
      </c>
      <c r="J454" s="21"/>
      <c r="K454" s="21"/>
      <c r="L454" s="21"/>
      <c r="M454" s="16">
        <f t="shared" si="5"/>
        <v>200</v>
      </c>
      <c r="N454" s="21">
        <f t="shared" si="6"/>
        <v>33</v>
      </c>
    </row>
    <row r="455" ht="13.5" customHeight="1">
      <c r="A455" s="2"/>
      <c r="B455" s="19" t="s">
        <v>1504</v>
      </c>
      <c r="C455" s="3" t="s">
        <v>1506</v>
      </c>
      <c r="D455" s="6">
        <v>1.0</v>
      </c>
      <c r="E455" s="6">
        <v>1.0</v>
      </c>
      <c r="F455" s="6">
        <v>1.0</v>
      </c>
      <c r="G455">
        <v>1.0</v>
      </c>
      <c r="H455" s="21">
        <v>200.0</v>
      </c>
      <c r="I455" s="21">
        <v>1.0</v>
      </c>
      <c r="J455" s="21"/>
      <c r="K455" s="21"/>
      <c r="L455" s="21"/>
      <c r="M455" s="16">
        <f t="shared" si="5"/>
        <v>200</v>
      </c>
      <c r="N455" s="21">
        <f t="shared" si="6"/>
        <v>33</v>
      </c>
    </row>
    <row r="456" ht="13.5" customHeight="1">
      <c r="A456" s="2"/>
      <c r="B456" s="19" t="s">
        <v>1512</v>
      </c>
      <c r="C456" s="3" t="s">
        <v>1514</v>
      </c>
      <c r="D456" s="6">
        <v>1.0</v>
      </c>
      <c r="E456" s="6">
        <v>1.0</v>
      </c>
      <c r="F456" s="6">
        <v>1.0</v>
      </c>
      <c r="G456">
        <v>1.0</v>
      </c>
      <c r="H456" s="21">
        <v>200.0</v>
      </c>
      <c r="I456" s="21">
        <v>1.0</v>
      </c>
      <c r="J456" s="21"/>
      <c r="K456" s="21"/>
      <c r="L456" s="21"/>
      <c r="M456" s="16">
        <f t="shared" si="5"/>
        <v>200</v>
      </c>
      <c r="N456" s="21">
        <f t="shared" si="6"/>
        <v>33</v>
      </c>
    </row>
    <row r="457" ht="13.5" customHeight="1">
      <c r="A457" s="7" t="s">
        <v>1520</v>
      </c>
      <c r="B457" s="2"/>
      <c r="D457" s="6"/>
      <c r="E457" s="6"/>
      <c r="F457" s="6"/>
      <c r="H457" s="21"/>
      <c r="I457" s="21">
        <v>1.0</v>
      </c>
      <c r="J457" s="21"/>
      <c r="K457" s="21"/>
      <c r="L457" s="21"/>
      <c r="M457" s="16" t="str">
        <f t="shared" si="5"/>
        <v/>
      </c>
      <c r="N457" s="21" t="str">
        <f t="shared" si="6"/>
        <v/>
      </c>
    </row>
    <row r="458" ht="13.5" customHeight="1">
      <c r="A458" s="2"/>
      <c r="B458" s="19" t="s">
        <v>1525</v>
      </c>
      <c r="C458" s="6" t="s">
        <v>1526</v>
      </c>
      <c r="D458" s="6">
        <v>1.0</v>
      </c>
      <c r="E458" s="6">
        <v>1.0</v>
      </c>
      <c r="F458" s="6">
        <v>1.0</v>
      </c>
      <c r="G458" s="6">
        <v>1.0</v>
      </c>
      <c r="H458" s="21">
        <v>50.0</v>
      </c>
      <c r="I458" s="21">
        <v>1.0</v>
      </c>
      <c r="J458" s="21"/>
      <c r="K458" s="21"/>
      <c r="L458" s="21"/>
      <c r="M458" s="16">
        <f t="shared" si="5"/>
        <v>50</v>
      </c>
      <c r="N458" s="21">
        <f t="shared" si="6"/>
        <v>67</v>
      </c>
    </row>
    <row r="459" ht="13.5" customHeight="1">
      <c r="A459" s="2"/>
      <c r="B459" s="19" t="s">
        <v>1527</v>
      </c>
      <c r="C459" s="6" t="s">
        <v>1528</v>
      </c>
      <c r="D459" s="6">
        <v>1.0</v>
      </c>
      <c r="E459" s="6">
        <v>1.0</v>
      </c>
      <c r="F459" s="6">
        <v>1.0</v>
      </c>
      <c r="G459" s="6">
        <v>1.0</v>
      </c>
      <c r="H459" s="21">
        <v>100.0</v>
      </c>
      <c r="I459" s="21">
        <v>1.0</v>
      </c>
      <c r="J459" s="21"/>
      <c r="K459" s="21"/>
      <c r="L459" s="21"/>
      <c r="M459" s="16">
        <f t="shared" si="5"/>
        <v>100</v>
      </c>
      <c r="N459" s="21">
        <f t="shared" si="6"/>
        <v>50</v>
      </c>
    </row>
    <row r="460" ht="13.5" customHeight="1">
      <c r="A460" s="2"/>
      <c r="B460" s="19" t="s">
        <v>1533</v>
      </c>
      <c r="C460" s="3" t="s">
        <v>1535</v>
      </c>
      <c r="D460" s="6">
        <v>1.0</v>
      </c>
      <c r="E460" s="6">
        <v>1.0</v>
      </c>
      <c r="F460" s="6">
        <v>1.0</v>
      </c>
      <c r="G460">
        <v>1.0</v>
      </c>
      <c r="H460" s="21">
        <v>100.0</v>
      </c>
      <c r="I460" s="21">
        <v>1.0</v>
      </c>
      <c r="J460" s="21"/>
      <c r="K460" s="21"/>
      <c r="L460" s="21"/>
      <c r="M460" s="16">
        <f t="shared" si="5"/>
        <v>100</v>
      </c>
      <c r="N460" s="21">
        <f t="shared" si="6"/>
        <v>50</v>
      </c>
    </row>
    <row r="461" ht="13.5" customHeight="1">
      <c r="A461" s="2"/>
      <c r="B461" s="19" t="s">
        <v>1537</v>
      </c>
      <c r="C461" s="3" t="s">
        <v>1538</v>
      </c>
      <c r="D461" s="6">
        <v>1.0</v>
      </c>
      <c r="E461" s="6">
        <v>1.0</v>
      </c>
      <c r="F461" s="6">
        <v>1.0</v>
      </c>
      <c r="G461">
        <v>1.0</v>
      </c>
      <c r="H461" s="21">
        <v>100.0</v>
      </c>
      <c r="I461" s="21">
        <v>1.0</v>
      </c>
      <c r="J461" s="21"/>
      <c r="K461" s="21"/>
      <c r="L461" s="21"/>
      <c r="M461" s="16">
        <f t="shared" si="5"/>
        <v>100</v>
      </c>
      <c r="N461" s="21">
        <f t="shared" si="6"/>
        <v>50</v>
      </c>
    </row>
    <row r="462" ht="13.5" customHeight="1">
      <c r="A462" s="2"/>
      <c r="B462" s="19" t="s">
        <v>1540</v>
      </c>
      <c r="C462" s="3" t="s">
        <v>1541</v>
      </c>
      <c r="D462" s="6">
        <v>1.0</v>
      </c>
      <c r="E462" s="6">
        <v>1.0</v>
      </c>
      <c r="F462" s="6">
        <v>1.0</v>
      </c>
      <c r="G462" s="6">
        <v>2.0</v>
      </c>
      <c r="H462" s="21">
        <v>100.0</v>
      </c>
      <c r="I462" s="21">
        <v>1.0</v>
      </c>
      <c r="J462" s="21"/>
      <c r="K462" s="21"/>
      <c r="L462" s="21"/>
      <c r="M462" s="16">
        <f t="shared" si="5"/>
        <v>200</v>
      </c>
      <c r="N462" s="21">
        <f t="shared" si="6"/>
        <v>33</v>
      </c>
    </row>
    <row r="463" ht="13.5" customHeight="1">
      <c r="A463" s="7" t="s">
        <v>1544</v>
      </c>
      <c r="B463" s="2"/>
      <c r="D463" s="6"/>
      <c r="E463" s="6"/>
      <c r="F463" s="6"/>
      <c r="H463" s="21"/>
      <c r="I463" s="21">
        <v>1.0</v>
      </c>
      <c r="J463" s="21"/>
      <c r="K463" s="21"/>
      <c r="L463" s="21"/>
      <c r="M463" s="16" t="str">
        <f t="shared" si="5"/>
        <v/>
      </c>
      <c r="N463" s="21" t="str">
        <f t="shared" si="6"/>
        <v/>
      </c>
    </row>
    <row r="464" ht="13.5" customHeight="1">
      <c r="A464" s="2"/>
      <c r="B464" s="19" t="s">
        <v>1545</v>
      </c>
      <c r="C464" s="3" t="s">
        <v>696</v>
      </c>
      <c r="D464" s="6">
        <v>1.0</v>
      </c>
      <c r="E464" s="6">
        <v>1.0</v>
      </c>
      <c r="F464" s="6">
        <v>1.0</v>
      </c>
      <c r="G464" s="6">
        <v>1.0</v>
      </c>
      <c r="H464" s="21">
        <v>50.0</v>
      </c>
      <c r="I464" s="21">
        <v>1.0</v>
      </c>
      <c r="J464" s="21"/>
      <c r="K464" s="21"/>
      <c r="L464" s="21"/>
      <c r="M464" s="16">
        <f t="shared" si="5"/>
        <v>50</v>
      </c>
      <c r="N464" s="21">
        <f t="shared" si="6"/>
        <v>67</v>
      </c>
    </row>
    <row r="465" ht="13.5" customHeight="1">
      <c r="A465" s="2"/>
      <c r="B465" s="19" t="s">
        <v>1546</v>
      </c>
      <c r="C465" s="3" t="s">
        <v>697</v>
      </c>
      <c r="D465" s="6">
        <v>1.0</v>
      </c>
      <c r="E465" s="6">
        <v>1.0</v>
      </c>
      <c r="F465" s="6">
        <v>1.0</v>
      </c>
      <c r="G465" s="6">
        <v>1.0</v>
      </c>
      <c r="H465" s="21">
        <v>50.0</v>
      </c>
      <c r="I465" s="21">
        <v>1.0</v>
      </c>
      <c r="J465" s="21"/>
      <c r="K465" s="21"/>
      <c r="L465" s="21"/>
      <c r="M465" s="16">
        <f t="shared" si="5"/>
        <v>50</v>
      </c>
      <c r="N465" s="21">
        <f t="shared" si="6"/>
        <v>67</v>
      </c>
    </row>
    <row r="466" ht="13.5" customHeight="1">
      <c r="A466" s="2"/>
      <c r="B466" s="19" t="s">
        <v>1549</v>
      </c>
      <c r="C466" s="3" t="s">
        <v>698</v>
      </c>
      <c r="D466" s="6">
        <v>1.0</v>
      </c>
      <c r="E466" s="6">
        <v>1.0</v>
      </c>
      <c r="F466" s="6">
        <v>1.0</v>
      </c>
      <c r="G466" s="6">
        <v>1.0</v>
      </c>
      <c r="H466" s="21">
        <v>50.0</v>
      </c>
      <c r="I466" s="21">
        <v>1.0</v>
      </c>
      <c r="J466" s="21"/>
      <c r="K466" s="21"/>
      <c r="L466" s="21"/>
      <c r="M466" s="16">
        <f t="shared" si="5"/>
        <v>50</v>
      </c>
      <c r="N466" s="21">
        <f t="shared" si="6"/>
        <v>67</v>
      </c>
    </row>
    <row r="467" ht="13.5" customHeight="1">
      <c r="A467" s="2"/>
      <c r="B467" s="19" t="s">
        <v>1552</v>
      </c>
      <c r="C467" s="3" t="s">
        <v>699</v>
      </c>
      <c r="D467" s="6">
        <v>1.0</v>
      </c>
      <c r="E467" s="6">
        <v>1.0</v>
      </c>
      <c r="F467" s="6">
        <v>1.0</v>
      </c>
      <c r="G467" s="6">
        <v>1.0</v>
      </c>
      <c r="H467" s="21">
        <v>50.0</v>
      </c>
      <c r="I467" s="21">
        <v>1.0</v>
      </c>
      <c r="J467" s="21"/>
      <c r="K467" s="21"/>
      <c r="L467" s="21"/>
      <c r="M467" s="16">
        <f t="shared" si="5"/>
        <v>50</v>
      </c>
      <c r="N467" s="21">
        <f t="shared" si="6"/>
        <v>67</v>
      </c>
    </row>
    <row r="468" ht="13.5" customHeight="1">
      <c r="A468" s="2"/>
      <c r="B468" s="19" t="s">
        <v>1553</v>
      </c>
      <c r="C468" s="3" t="s">
        <v>700</v>
      </c>
      <c r="D468" s="6">
        <v>1.0</v>
      </c>
      <c r="E468" s="6">
        <v>1.0</v>
      </c>
      <c r="F468" s="6">
        <v>1.0</v>
      </c>
      <c r="G468" s="6">
        <v>1.0</v>
      </c>
      <c r="H468" s="21">
        <v>50.0</v>
      </c>
      <c r="I468" s="21">
        <v>1.0</v>
      </c>
      <c r="J468" s="21"/>
      <c r="K468" s="21"/>
      <c r="L468" s="21"/>
      <c r="M468" s="16">
        <f t="shared" si="5"/>
        <v>50</v>
      </c>
      <c r="N468" s="21">
        <f t="shared" si="6"/>
        <v>67</v>
      </c>
    </row>
    <row r="469" ht="13.5" customHeight="1">
      <c r="A469" s="2"/>
      <c r="B469" s="19" t="s">
        <v>1554</v>
      </c>
      <c r="C469" s="3" t="s">
        <v>701</v>
      </c>
      <c r="D469" s="6">
        <v>1.0</v>
      </c>
      <c r="E469" s="6">
        <v>1.0</v>
      </c>
      <c r="F469" s="6">
        <v>1.0</v>
      </c>
      <c r="G469" s="6">
        <v>1.0</v>
      </c>
      <c r="H469" s="21">
        <v>50.0</v>
      </c>
      <c r="I469" s="21">
        <v>1.0</v>
      </c>
      <c r="J469" s="21"/>
      <c r="K469" s="21"/>
      <c r="L469" s="21"/>
      <c r="M469" s="16">
        <f t="shared" si="5"/>
        <v>50</v>
      </c>
      <c r="N469" s="21">
        <f t="shared" si="6"/>
        <v>67</v>
      </c>
    </row>
    <row r="470" ht="13.5" customHeight="1">
      <c r="A470" s="2"/>
      <c r="B470" s="19" t="s">
        <v>1557</v>
      </c>
      <c r="C470" s="3" t="s">
        <v>702</v>
      </c>
      <c r="D470" s="6">
        <v>1.0</v>
      </c>
      <c r="E470" s="6">
        <v>1.0</v>
      </c>
      <c r="F470" s="6">
        <v>1.0</v>
      </c>
      <c r="G470" s="6">
        <v>1.0</v>
      </c>
      <c r="H470" s="21">
        <v>50.0</v>
      </c>
      <c r="I470" s="21">
        <v>1.0</v>
      </c>
      <c r="J470" s="21"/>
      <c r="K470" s="21"/>
      <c r="L470" s="21"/>
      <c r="M470" s="16">
        <f t="shared" si="5"/>
        <v>50</v>
      </c>
      <c r="N470" s="21">
        <f t="shared" si="6"/>
        <v>67</v>
      </c>
    </row>
    <row r="471" ht="13.5" customHeight="1">
      <c r="A471" s="2"/>
      <c r="B471" s="19" t="s">
        <v>1565</v>
      </c>
      <c r="C471" s="3" t="s">
        <v>703</v>
      </c>
      <c r="D471" s="6">
        <v>1.0</v>
      </c>
      <c r="E471" s="6">
        <v>1.0</v>
      </c>
      <c r="F471" s="6">
        <v>1.0</v>
      </c>
      <c r="G471" s="6">
        <v>1.0</v>
      </c>
      <c r="H471" s="21">
        <v>50.0</v>
      </c>
      <c r="I471" s="21">
        <v>1.0</v>
      </c>
      <c r="J471" s="21"/>
      <c r="K471" s="21"/>
      <c r="L471" s="21"/>
      <c r="M471" s="16">
        <f t="shared" si="5"/>
        <v>50</v>
      </c>
      <c r="N471" s="21">
        <f t="shared" si="6"/>
        <v>67</v>
      </c>
    </row>
    <row r="472" ht="13.5" customHeight="1">
      <c r="A472" s="2"/>
      <c r="B472" s="19" t="s">
        <v>1573</v>
      </c>
      <c r="C472" s="3" t="s">
        <v>1574</v>
      </c>
      <c r="D472" s="6">
        <v>1.0</v>
      </c>
      <c r="E472" s="6">
        <v>1.0</v>
      </c>
      <c r="F472" s="6">
        <v>1.0</v>
      </c>
      <c r="G472" s="6">
        <v>1.0</v>
      </c>
      <c r="H472" s="21">
        <v>50.0</v>
      </c>
      <c r="I472" s="21">
        <v>1.0</v>
      </c>
      <c r="J472" s="21"/>
      <c r="K472" s="21"/>
      <c r="L472" s="21"/>
      <c r="M472" s="16">
        <f t="shared" si="5"/>
        <v>50</v>
      </c>
      <c r="N472" s="21">
        <f t="shared" si="6"/>
        <v>67</v>
      </c>
    </row>
    <row r="473" ht="13.5" customHeight="1">
      <c r="A473" s="7" t="s">
        <v>1581</v>
      </c>
      <c r="B473" s="2"/>
      <c r="D473" s="6"/>
      <c r="E473" s="6"/>
      <c r="F473" s="6"/>
      <c r="H473" s="21"/>
      <c r="I473" s="21">
        <v>1.0</v>
      </c>
      <c r="J473" s="21"/>
      <c r="K473" s="21"/>
      <c r="L473" s="21"/>
      <c r="M473" s="16" t="str">
        <f t="shared" si="5"/>
        <v/>
      </c>
      <c r="N473" s="21" t="str">
        <f t="shared" si="6"/>
        <v/>
      </c>
    </row>
    <row r="474" ht="13.5" customHeight="1">
      <c r="A474" s="39"/>
      <c r="B474" s="19" t="s">
        <v>1597</v>
      </c>
      <c r="C474" s="6" t="s">
        <v>1599</v>
      </c>
      <c r="D474" s="6">
        <v>1.0</v>
      </c>
      <c r="E474" s="6">
        <v>1.0</v>
      </c>
      <c r="F474" s="6">
        <v>1.0</v>
      </c>
      <c r="G474" s="40">
        <v>3.0</v>
      </c>
      <c r="H474" s="21">
        <v>100.0</v>
      </c>
      <c r="I474" s="21">
        <v>1.0</v>
      </c>
      <c r="J474" s="21"/>
      <c r="K474" s="21"/>
      <c r="L474" s="21"/>
      <c r="M474" s="16">
        <f t="shared" si="5"/>
        <v>300</v>
      </c>
      <c r="N474" s="21">
        <f t="shared" si="6"/>
        <v>25</v>
      </c>
    </row>
    <row r="475" ht="13.5" customHeight="1">
      <c r="A475" s="39"/>
      <c r="B475" s="19" t="s">
        <v>1617</v>
      </c>
      <c r="C475" s="6" t="s">
        <v>1619</v>
      </c>
      <c r="D475" s="6">
        <v>1.0</v>
      </c>
      <c r="E475" s="6">
        <v>1.0</v>
      </c>
      <c r="F475" s="6">
        <v>1.0</v>
      </c>
      <c r="G475" s="40">
        <v>3.0</v>
      </c>
      <c r="H475" s="21">
        <v>100.0</v>
      </c>
      <c r="I475" s="21">
        <v>1.0</v>
      </c>
      <c r="J475" s="21"/>
      <c r="K475" s="21"/>
      <c r="L475" s="21"/>
      <c r="M475" s="16">
        <f t="shared" si="5"/>
        <v>300</v>
      </c>
      <c r="N475" s="21">
        <f t="shared" si="6"/>
        <v>25</v>
      </c>
    </row>
    <row r="476" ht="13.5" customHeight="1">
      <c r="A476" s="39"/>
      <c r="B476" s="19" t="s">
        <v>1627</v>
      </c>
      <c r="C476" s="6" t="s">
        <v>1629</v>
      </c>
      <c r="D476" s="6">
        <v>1.0</v>
      </c>
      <c r="E476" s="6">
        <v>1.0</v>
      </c>
      <c r="F476" s="6">
        <v>1.0</v>
      </c>
      <c r="G476" s="40">
        <v>3.0</v>
      </c>
      <c r="H476" s="21">
        <v>100.0</v>
      </c>
      <c r="I476" s="21">
        <v>1.0</v>
      </c>
      <c r="J476" s="21"/>
      <c r="K476" s="21"/>
      <c r="L476" s="21"/>
      <c r="M476" s="16">
        <f t="shared" si="5"/>
        <v>300</v>
      </c>
      <c r="N476" s="21">
        <f t="shared" si="6"/>
        <v>25</v>
      </c>
    </row>
    <row r="477" ht="13.5" customHeight="1">
      <c r="A477" s="39"/>
      <c r="B477" s="19" t="s">
        <v>1637</v>
      </c>
      <c r="C477" s="6" t="s">
        <v>1639</v>
      </c>
      <c r="D477" s="6">
        <v>1.0</v>
      </c>
      <c r="E477" s="6">
        <v>1.0</v>
      </c>
      <c r="F477" s="6">
        <v>1.0</v>
      </c>
      <c r="G477" s="40">
        <v>3.0</v>
      </c>
      <c r="H477" s="21">
        <v>100.0</v>
      </c>
      <c r="I477" s="21">
        <v>1.0</v>
      </c>
      <c r="J477" s="21"/>
      <c r="K477" s="21"/>
      <c r="L477" s="21"/>
      <c r="M477" s="16">
        <f t="shared" si="5"/>
        <v>300</v>
      </c>
      <c r="N477" s="21">
        <f t="shared" si="6"/>
        <v>25</v>
      </c>
    </row>
    <row r="478" ht="13.5" customHeight="1">
      <c r="A478" s="39"/>
      <c r="B478" s="19" t="s">
        <v>1648</v>
      </c>
      <c r="C478" s="6" t="s">
        <v>1650</v>
      </c>
      <c r="D478" s="6">
        <v>1.0</v>
      </c>
      <c r="E478" s="6">
        <v>1.0</v>
      </c>
      <c r="F478" s="6">
        <v>1.0</v>
      </c>
      <c r="G478" s="40">
        <v>3.0</v>
      </c>
      <c r="H478" s="21">
        <v>100.0</v>
      </c>
      <c r="I478" s="21">
        <v>1.0</v>
      </c>
      <c r="J478" s="21"/>
      <c r="K478" s="21"/>
      <c r="L478" s="21"/>
      <c r="M478" s="16">
        <f t="shared" si="5"/>
        <v>300</v>
      </c>
      <c r="N478" s="21">
        <f t="shared" si="6"/>
        <v>25</v>
      </c>
    </row>
    <row r="479" ht="13.5" customHeight="1">
      <c r="A479" s="39"/>
      <c r="B479" s="19" t="s">
        <v>1659</v>
      </c>
      <c r="C479" s="6" t="s">
        <v>1661</v>
      </c>
      <c r="D479" s="6">
        <v>1.0</v>
      </c>
      <c r="E479" s="6">
        <v>1.0</v>
      </c>
      <c r="F479" s="6">
        <v>1.0</v>
      </c>
      <c r="G479" s="41">
        <v>1.0</v>
      </c>
      <c r="H479" s="21">
        <v>100.0</v>
      </c>
      <c r="I479" s="21">
        <v>1.0</v>
      </c>
      <c r="J479" s="21"/>
      <c r="K479" s="21"/>
      <c r="L479" s="21"/>
      <c r="M479" s="16">
        <f t="shared" si="5"/>
        <v>100</v>
      </c>
      <c r="N479" s="21">
        <f t="shared" si="6"/>
        <v>50</v>
      </c>
    </row>
    <row r="480" ht="13.5" customHeight="1">
      <c r="A480" s="39"/>
      <c r="B480" s="19" t="s">
        <v>1669</v>
      </c>
      <c r="C480" s="6" t="s">
        <v>1670</v>
      </c>
      <c r="D480" s="6">
        <v>1.0</v>
      </c>
      <c r="E480" s="6">
        <v>1.0</v>
      </c>
      <c r="F480" s="6">
        <v>1.0</v>
      </c>
      <c r="G480" s="40">
        <v>3.0</v>
      </c>
      <c r="H480" s="21">
        <v>100.0</v>
      </c>
      <c r="I480" s="21">
        <v>1.0</v>
      </c>
      <c r="J480" s="21"/>
      <c r="K480" s="21"/>
      <c r="L480" s="21"/>
      <c r="M480" s="16">
        <f t="shared" si="5"/>
        <v>300</v>
      </c>
      <c r="N480" s="21">
        <f t="shared" si="6"/>
        <v>25</v>
      </c>
    </row>
    <row r="481" ht="13.5" customHeight="1">
      <c r="A481" s="39"/>
      <c r="B481" s="19" t="s">
        <v>1674</v>
      </c>
      <c r="C481" s="6" t="s">
        <v>1675</v>
      </c>
      <c r="D481" s="6">
        <v>1.0</v>
      </c>
      <c r="E481" s="6">
        <v>1.0</v>
      </c>
      <c r="F481" s="6">
        <v>1.0</v>
      </c>
      <c r="G481" s="40">
        <v>2.0</v>
      </c>
      <c r="H481" s="21">
        <v>100.0</v>
      </c>
      <c r="I481" s="21">
        <v>1.0</v>
      </c>
      <c r="J481" s="21"/>
      <c r="K481" s="21"/>
      <c r="L481" s="21"/>
      <c r="M481" s="16">
        <f t="shared" si="5"/>
        <v>200</v>
      </c>
      <c r="N481" s="21">
        <f t="shared" si="6"/>
        <v>33</v>
      </c>
    </row>
    <row r="482" ht="13.5" customHeight="1">
      <c r="A482" s="39"/>
      <c r="B482" s="19" t="s">
        <v>1679</v>
      </c>
      <c r="C482" s="6" t="s">
        <v>1681</v>
      </c>
      <c r="D482" s="6">
        <v>1.0</v>
      </c>
      <c r="E482" s="6">
        <v>1.0</v>
      </c>
      <c r="F482" s="6">
        <v>1.0</v>
      </c>
      <c r="G482" s="40">
        <v>3.0</v>
      </c>
      <c r="H482" s="21">
        <v>100.0</v>
      </c>
      <c r="I482" s="21">
        <v>1.0</v>
      </c>
      <c r="J482" s="21"/>
      <c r="K482" s="21"/>
      <c r="L482" s="21"/>
      <c r="M482" s="16">
        <f t="shared" si="5"/>
        <v>300</v>
      </c>
      <c r="N482" s="21">
        <f t="shared" si="6"/>
        <v>25</v>
      </c>
    </row>
    <row r="483" ht="13.5" customHeight="1">
      <c r="A483" s="39"/>
      <c r="B483" s="19" t="s">
        <v>1679</v>
      </c>
      <c r="C483" s="6" t="s">
        <v>1687</v>
      </c>
      <c r="D483" s="6">
        <v>1.0</v>
      </c>
      <c r="E483" s="6">
        <v>1.0</v>
      </c>
      <c r="F483" s="6">
        <v>1.0</v>
      </c>
      <c r="G483" s="40">
        <v>3.0</v>
      </c>
      <c r="H483" s="21">
        <v>100.0</v>
      </c>
      <c r="I483" s="21">
        <v>1.0</v>
      </c>
      <c r="J483" s="21"/>
      <c r="K483" s="21"/>
      <c r="L483" s="21"/>
      <c r="M483" s="16">
        <f t="shared" si="5"/>
        <v>300</v>
      </c>
      <c r="N483" s="21">
        <f t="shared" si="6"/>
        <v>25</v>
      </c>
    </row>
    <row r="484" ht="13.5" customHeight="1">
      <c r="A484" s="39"/>
      <c r="B484" s="19" t="s">
        <v>1688</v>
      </c>
      <c r="C484" s="6" t="s">
        <v>1689</v>
      </c>
      <c r="D484" s="6">
        <v>1.0</v>
      </c>
      <c r="E484" s="6">
        <v>1.0</v>
      </c>
      <c r="F484" s="6">
        <v>1.0</v>
      </c>
      <c r="G484" s="41">
        <v>1.0</v>
      </c>
      <c r="H484" s="21">
        <v>100.0</v>
      </c>
      <c r="I484" s="21">
        <v>1.0</v>
      </c>
      <c r="J484" s="21"/>
      <c r="K484" s="21"/>
      <c r="L484" s="21"/>
      <c r="M484" s="16">
        <f t="shared" si="5"/>
        <v>100</v>
      </c>
      <c r="N484" s="21">
        <f t="shared" si="6"/>
        <v>50</v>
      </c>
    </row>
    <row r="485" ht="13.5" customHeight="1">
      <c r="A485" s="39"/>
      <c r="B485" s="19" t="s">
        <v>1691</v>
      </c>
      <c r="C485" s="6" t="s">
        <v>1692</v>
      </c>
      <c r="D485" s="6">
        <v>1.0</v>
      </c>
      <c r="E485" s="6">
        <v>1.0</v>
      </c>
      <c r="F485" s="6">
        <v>1.0</v>
      </c>
      <c r="G485" s="40">
        <v>2.0</v>
      </c>
      <c r="H485" s="21">
        <v>100.0</v>
      </c>
      <c r="I485" s="21">
        <v>1.0</v>
      </c>
      <c r="J485" s="21"/>
      <c r="K485" s="21"/>
      <c r="L485" s="21"/>
      <c r="M485" s="16">
        <f t="shared" si="5"/>
        <v>200</v>
      </c>
      <c r="N485" s="21">
        <f t="shared" si="6"/>
        <v>33</v>
      </c>
    </row>
    <row r="486" ht="13.5" customHeight="1">
      <c r="A486" s="39" t="s">
        <v>1693</v>
      </c>
      <c r="B486" s="19" t="s">
        <v>1694</v>
      </c>
      <c r="C486" s="3" t="s">
        <v>1695</v>
      </c>
      <c r="D486" s="6">
        <v>1.0</v>
      </c>
      <c r="E486" s="6">
        <v>0.0</v>
      </c>
      <c r="F486" s="6">
        <v>1.0</v>
      </c>
      <c r="G486" s="6">
        <v>3.0</v>
      </c>
      <c r="H486" s="21">
        <v>100.0</v>
      </c>
      <c r="I486" s="21">
        <v>1.0</v>
      </c>
      <c r="J486" s="21"/>
      <c r="K486" s="21"/>
      <c r="L486" s="21"/>
      <c r="M486" s="16">
        <f t="shared" si="5"/>
        <v>300</v>
      </c>
      <c r="N486" s="21">
        <f t="shared" si="6"/>
        <v>25</v>
      </c>
    </row>
    <row r="487" ht="13.5" customHeight="1">
      <c r="A487" s="2"/>
      <c r="B487" s="19" t="s">
        <v>1699</v>
      </c>
      <c r="C487" s="3" t="s">
        <v>1700</v>
      </c>
      <c r="D487" s="6">
        <v>1.0</v>
      </c>
      <c r="E487" s="6">
        <v>1.0</v>
      </c>
      <c r="F487" s="6">
        <v>1.0</v>
      </c>
      <c r="G487" s="6">
        <v>3.0</v>
      </c>
      <c r="H487" s="21">
        <v>100.0</v>
      </c>
      <c r="I487" s="21">
        <v>1.0</v>
      </c>
      <c r="J487" s="21"/>
      <c r="K487" s="21"/>
      <c r="L487" s="21"/>
      <c r="M487" s="16">
        <f t="shared" si="5"/>
        <v>300</v>
      </c>
      <c r="N487" s="21">
        <f t="shared" si="6"/>
        <v>25</v>
      </c>
    </row>
    <row r="488" ht="13.5" customHeight="1">
      <c r="A488" s="2"/>
      <c r="B488" s="19" t="s">
        <v>1701</v>
      </c>
      <c r="C488" s="3" t="s">
        <v>1702</v>
      </c>
      <c r="D488" s="6">
        <v>1.0</v>
      </c>
      <c r="E488" s="6">
        <v>1.0</v>
      </c>
      <c r="F488" s="6">
        <v>1.0</v>
      </c>
      <c r="G488" s="6">
        <v>3.0</v>
      </c>
      <c r="H488" s="21">
        <v>100.0</v>
      </c>
      <c r="I488" s="21">
        <v>1.0</v>
      </c>
      <c r="J488" s="21"/>
      <c r="K488" s="21"/>
      <c r="L488" s="21"/>
      <c r="M488" s="16">
        <f t="shared" si="5"/>
        <v>300</v>
      </c>
      <c r="N488" s="21">
        <f t="shared" si="6"/>
        <v>25</v>
      </c>
    </row>
    <row r="489" ht="13.5" customHeight="1">
      <c r="A489" s="2"/>
      <c r="B489" s="19" t="s">
        <v>1704</v>
      </c>
      <c r="C489" s="3" t="s">
        <v>1706</v>
      </c>
      <c r="D489" s="6">
        <v>1.0</v>
      </c>
      <c r="E489" s="6">
        <v>1.0</v>
      </c>
      <c r="F489" s="6">
        <v>1.0</v>
      </c>
      <c r="G489" s="6">
        <v>1.0</v>
      </c>
      <c r="H489" s="21">
        <v>100.0</v>
      </c>
      <c r="I489" s="21">
        <v>1.0</v>
      </c>
      <c r="J489" s="21"/>
      <c r="K489" s="21"/>
      <c r="L489" s="21"/>
      <c r="M489" s="16">
        <f t="shared" si="5"/>
        <v>100</v>
      </c>
      <c r="N489" s="21">
        <f t="shared" si="6"/>
        <v>50</v>
      </c>
    </row>
    <row r="490" ht="13.5" customHeight="1">
      <c r="A490" s="2"/>
      <c r="B490" s="19" t="s">
        <v>1704</v>
      </c>
      <c r="C490" s="3" t="s">
        <v>1712</v>
      </c>
      <c r="D490" s="6">
        <v>1.0</v>
      </c>
      <c r="E490" s="6">
        <v>1.0</v>
      </c>
      <c r="F490" s="6">
        <v>1.0</v>
      </c>
      <c r="G490" s="6">
        <v>1.0</v>
      </c>
      <c r="H490" s="21">
        <v>100.0</v>
      </c>
      <c r="I490" s="21">
        <v>1.0</v>
      </c>
      <c r="J490" s="21"/>
      <c r="K490" s="21"/>
      <c r="L490" s="21"/>
      <c r="M490" s="16">
        <f t="shared" si="5"/>
        <v>100</v>
      </c>
      <c r="N490" s="21">
        <f t="shared" si="6"/>
        <v>50</v>
      </c>
    </row>
    <row r="491" ht="13.5" customHeight="1">
      <c r="A491" s="2"/>
      <c r="B491" s="19" t="s">
        <v>1716</v>
      </c>
      <c r="C491" s="3" t="s">
        <v>1717</v>
      </c>
      <c r="D491" s="6">
        <v>1.0</v>
      </c>
      <c r="E491" s="6">
        <v>1.0</v>
      </c>
      <c r="F491" s="6">
        <v>1.0</v>
      </c>
      <c r="G491" s="6">
        <v>1.0</v>
      </c>
      <c r="H491" s="21">
        <v>100.0</v>
      </c>
      <c r="I491" s="21">
        <v>1.0</v>
      </c>
      <c r="J491" s="21"/>
      <c r="K491" s="21"/>
      <c r="L491" s="21"/>
      <c r="M491" s="16">
        <f t="shared" si="5"/>
        <v>100</v>
      </c>
      <c r="N491" s="21">
        <f t="shared" si="6"/>
        <v>50</v>
      </c>
    </row>
    <row r="492" ht="13.5" customHeight="1">
      <c r="A492" s="2"/>
      <c r="B492" s="19" t="s">
        <v>1704</v>
      </c>
      <c r="C492" s="3" t="s">
        <v>1722</v>
      </c>
      <c r="D492" s="6">
        <v>1.0</v>
      </c>
      <c r="E492" s="6">
        <v>1.0</v>
      </c>
      <c r="F492" s="6">
        <v>1.0</v>
      </c>
      <c r="G492" s="6">
        <v>1.0</v>
      </c>
      <c r="H492" s="21">
        <v>100.0</v>
      </c>
      <c r="I492" s="21">
        <v>1.0</v>
      </c>
      <c r="J492" s="21"/>
      <c r="K492" s="21"/>
      <c r="L492" s="21"/>
      <c r="M492" s="16">
        <f t="shared" si="5"/>
        <v>100</v>
      </c>
      <c r="N492" s="21">
        <f t="shared" si="6"/>
        <v>50</v>
      </c>
    </row>
    <row r="493" ht="13.5" customHeight="1">
      <c r="A493" s="2"/>
      <c r="B493" s="19" t="s">
        <v>1694</v>
      </c>
      <c r="C493" s="3" t="s">
        <v>1727</v>
      </c>
      <c r="D493" s="6">
        <v>1.0</v>
      </c>
      <c r="E493" s="6">
        <v>1.0</v>
      </c>
      <c r="F493" s="6">
        <v>1.0</v>
      </c>
      <c r="G493" s="6">
        <v>3.0</v>
      </c>
      <c r="H493" s="21">
        <v>100.0</v>
      </c>
      <c r="I493" s="21">
        <v>1.0</v>
      </c>
      <c r="J493" s="21"/>
      <c r="K493" s="21"/>
      <c r="L493" s="21"/>
      <c r="M493" s="16">
        <f t="shared" si="5"/>
        <v>300</v>
      </c>
      <c r="N493" s="21">
        <f t="shared" si="6"/>
        <v>25</v>
      </c>
    </row>
    <row r="494" ht="13.5" customHeight="1">
      <c r="A494" s="2"/>
      <c r="B494" s="19" t="s">
        <v>1699</v>
      </c>
      <c r="C494" s="3" t="s">
        <v>1737</v>
      </c>
      <c r="D494" s="6">
        <v>1.0</v>
      </c>
      <c r="E494" s="6">
        <v>1.0</v>
      </c>
      <c r="F494" s="6">
        <v>1.0</v>
      </c>
      <c r="G494" s="6">
        <v>3.0</v>
      </c>
      <c r="H494" s="21">
        <v>100.0</v>
      </c>
      <c r="I494" s="21">
        <v>1.0</v>
      </c>
      <c r="J494" s="21"/>
      <c r="K494" s="21"/>
      <c r="L494" s="21"/>
      <c r="M494" s="16">
        <f t="shared" si="5"/>
        <v>300</v>
      </c>
      <c r="N494" s="21">
        <f t="shared" si="6"/>
        <v>25</v>
      </c>
    </row>
    <row r="495" ht="13.5" customHeight="1">
      <c r="A495" s="2"/>
      <c r="B495" s="19" t="s">
        <v>1699</v>
      </c>
      <c r="C495" s="3" t="s">
        <v>1739</v>
      </c>
      <c r="D495" s="6">
        <v>1.0</v>
      </c>
      <c r="E495" s="6">
        <v>1.0</v>
      </c>
      <c r="F495" s="6">
        <v>1.0</v>
      </c>
      <c r="G495" s="6">
        <v>3.0</v>
      </c>
      <c r="H495" s="21">
        <v>100.0</v>
      </c>
      <c r="I495" s="21">
        <v>1.0</v>
      </c>
      <c r="J495" s="21"/>
      <c r="K495" s="21"/>
      <c r="L495" s="21"/>
      <c r="M495" s="16">
        <f t="shared" si="5"/>
        <v>300</v>
      </c>
      <c r="N495" s="21">
        <f t="shared" si="6"/>
        <v>25</v>
      </c>
    </row>
    <row r="496" ht="13.5" customHeight="1">
      <c r="A496" s="2"/>
      <c r="B496" s="19" t="s">
        <v>1740</v>
      </c>
      <c r="C496" s="3" t="s">
        <v>1741</v>
      </c>
      <c r="D496" s="6">
        <v>1.0</v>
      </c>
      <c r="E496" s="6">
        <v>1.0</v>
      </c>
      <c r="F496" s="6">
        <v>1.0</v>
      </c>
      <c r="G496" s="6">
        <v>2.0</v>
      </c>
      <c r="H496" s="21">
        <v>100.0</v>
      </c>
      <c r="I496" s="21">
        <v>1.0</v>
      </c>
      <c r="J496" s="21"/>
      <c r="K496" s="21"/>
      <c r="L496" s="21"/>
      <c r="M496" s="16">
        <f t="shared" si="5"/>
        <v>200</v>
      </c>
      <c r="N496" s="21">
        <f t="shared" si="6"/>
        <v>33</v>
      </c>
    </row>
    <row r="497" ht="13.5" customHeight="1">
      <c r="A497" s="2"/>
      <c r="B497" s="19" t="s">
        <v>1743</v>
      </c>
      <c r="C497" s="3" t="s">
        <v>1744</v>
      </c>
      <c r="D497" s="6">
        <v>1.0</v>
      </c>
      <c r="E497" s="6">
        <v>1.0</v>
      </c>
      <c r="F497" s="6">
        <v>1.0</v>
      </c>
      <c r="G497" s="6">
        <v>3.0</v>
      </c>
      <c r="H497" s="21">
        <v>100.0</v>
      </c>
      <c r="I497" s="21">
        <v>1.0</v>
      </c>
      <c r="J497" s="21"/>
      <c r="K497" s="21"/>
      <c r="L497" s="21"/>
      <c r="M497" s="16">
        <f t="shared" si="5"/>
        <v>300</v>
      </c>
      <c r="N497" s="21">
        <f t="shared" si="6"/>
        <v>25</v>
      </c>
    </row>
    <row r="498" ht="13.5" customHeight="1">
      <c r="A498" s="2"/>
      <c r="B498" s="19" t="s">
        <v>1745</v>
      </c>
      <c r="C498" s="3" t="s">
        <v>1746</v>
      </c>
      <c r="D498" s="6">
        <v>1.0</v>
      </c>
      <c r="E498" s="6">
        <v>1.0</v>
      </c>
      <c r="F498" s="6">
        <v>1.0</v>
      </c>
      <c r="G498" s="6">
        <v>3.0</v>
      </c>
      <c r="H498" s="21">
        <v>100.0</v>
      </c>
      <c r="I498" s="21">
        <v>1.0</v>
      </c>
      <c r="J498" s="21"/>
      <c r="K498" s="21"/>
      <c r="L498" s="21"/>
      <c r="M498" s="16">
        <f t="shared" si="5"/>
        <v>300</v>
      </c>
      <c r="N498" s="21">
        <f t="shared" si="6"/>
        <v>25</v>
      </c>
    </row>
    <row r="499" ht="13.5" customHeight="1">
      <c r="A499" s="2"/>
      <c r="B499" s="19" t="s">
        <v>1747</v>
      </c>
      <c r="C499" s="3" t="s">
        <v>1748</v>
      </c>
      <c r="D499" s="6">
        <v>1.0</v>
      </c>
      <c r="E499" s="6">
        <v>1.0</v>
      </c>
      <c r="F499" s="6">
        <v>1.0</v>
      </c>
      <c r="G499" s="6">
        <v>3.0</v>
      </c>
      <c r="H499" s="21">
        <v>100.0</v>
      </c>
      <c r="I499" s="21">
        <v>1.0</v>
      </c>
      <c r="J499" s="21"/>
      <c r="K499" s="21"/>
      <c r="L499" s="21"/>
      <c r="M499" s="16">
        <f t="shared" si="5"/>
        <v>300</v>
      </c>
      <c r="N499" s="21">
        <f t="shared" si="6"/>
        <v>25</v>
      </c>
    </row>
    <row r="500" ht="13.5" customHeight="1">
      <c r="A500" s="2"/>
      <c r="B500" s="19" t="s">
        <v>1749</v>
      </c>
      <c r="C500" s="3" t="s">
        <v>1750</v>
      </c>
      <c r="D500" s="6">
        <v>1.0</v>
      </c>
      <c r="E500" s="6">
        <v>1.0</v>
      </c>
      <c r="F500" s="6">
        <v>1.0</v>
      </c>
      <c r="G500" s="6">
        <v>3.0</v>
      </c>
      <c r="H500" s="21">
        <v>100.0</v>
      </c>
      <c r="I500" s="21">
        <v>1.0</v>
      </c>
      <c r="J500" s="21"/>
      <c r="K500" s="21"/>
      <c r="L500" s="21"/>
      <c r="M500" s="16">
        <f t="shared" si="5"/>
        <v>300</v>
      </c>
      <c r="N500" s="21">
        <f t="shared" si="6"/>
        <v>25</v>
      </c>
    </row>
    <row r="501" ht="13.5" customHeight="1">
      <c r="A501" s="2"/>
      <c r="B501" s="19" t="s">
        <v>1751</v>
      </c>
      <c r="C501" s="3" t="s">
        <v>1752</v>
      </c>
      <c r="D501" s="6">
        <v>1.0</v>
      </c>
      <c r="E501" s="6">
        <v>1.0</v>
      </c>
      <c r="F501" s="6">
        <v>1.0</v>
      </c>
      <c r="G501" s="6">
        <v>3.0</v>
      </c>
      <c r="H501" s="21">
        <v>100.0</v>
      </c>
      <c r="I501" s="21">
        <v>1.0</v>
      </c>
      <c r="J501" s="21"/>
      <c r="K501" s="21"/>
      <c r="L501" s="21"/>
      <c r="M501" s="16">
        <f t="shared" si="5"/>
        <v>300</v>
      </c>
      <c r="N501" s="21">
        <f t="shared" si="6"/>
        <v>25</v>
      </c>
    </row>
    <row r="502" ht="13.5" customHeight="1">
      <c r="A502" s="2"/>
      <c r="B502" s="19" t="s">
        <v>1749</v>
      </c>
      <c r="C502" s="3" t="s">
        <v>1753</v>
      </c>
      <c r="D502" s="6">
        <v>1.0</v>
      </c>
      <c r="E502" s="6">
        <v>1.0</v>
      </c>
      <c r="F502" s="6">
        <v>1.0</v>
      </c>
      <c r="G502" s="6">
        <v>3.0</v>
      </c>
      <c r="H502" s="21">
        <v>100.0</v>
      </c>
      <c r="I502" s="21">
        <v>1.0</v>
      </c>
      <c r="J502" s="21"/>
      <c r="K502" s="21"/>
      <c r="L502" s="21"/>
      <c r="M502" s="16">
        <f t="shared" si="5"/>
        <v>300</v>
      </c>
      <c r="N502" s="21">
        <f t="shared" si="6"/>
        <v>25</v>
      </c>
    </row>
    <row r="503" ht="13.5" customHeight="1">
      <c r="A503" s="2"/>
      <c r="B503" s="19" t="s">
        <v>1755</v>
      </c>
      <c r="C503" s="3" t="s">
        <v>1756</v>
      </c>
      <c r="D503" s="6">
        <v>1.0</v>
      </c>
      <c r="E503" s="6">
        <v>1.0</v>
      </c>
      <c r="F503" s="6">
        <v>1.0</v>
      </c>
      <c r="G503" s="6">
        <v>1.0</v>
      </c>
      <c r="H503" s="21">
        <v>100.0</v>
      </c>
      <c r="I503" s="21">
        <v>1.0</v>
      </c>
      <c r="J503" s="21"/>
      <c r="K503" s="21"/>
      <c r="L503" s="21"/>
      <c r="M503" s="16">
        <f t="shared" si="5"/>
        <v>100</v>
      </c>
      <c r="N503" s="21">
        <f t="shared" si="6"/>
        <v>50</v>
      </c>
    </row>
    <row r="504" ht="13.5" customHeight="1">
      <c r="A504" s="2"/>
      <c r="B504" s="19" t="s">
        <v>1755</v>
      </c>
      <c r="C504" s="3" t="s">
        <v>1757</v>
      </c>
      <c r="D504" s="6">
        <v>1.0</v>
      </c>
      <c r="E504" s="6">
        <v>1.0</v>
      </c>
      <c r="F504" s="6">
        <v>1.0</v>
      </c>
      <c r="G504" s="6">
        <v>1.0</v>
      </c>
      <c r="H504" s="21">
        <v>100.0</v>
      </c>
      <c r="I504" s="21">
        <v>1.0</v>
      </c>
      <c r="J504" s="21"/>
      <c r="K504" s="21"/>
      <c r="L504" s="21"/>
      <c r="M504" s="16">
        <f t="shared" si="5"/>
        <v>100</v>
      </c>
      <c r="N504" s="21">
        <f t="shared" si="6"/>
        <v>50</v>
      </c>
    </row>
    <row r="505" ht="13.5" customHeight="1">
      <c r="A505" s="2" t="s">
        <v>1758</v>
      </c>
      <c r="B505" s="2"/>
      <c r="D505" s="6"/>
      <c r="E505" s="6"/>
      <c r="F505" s="6"/>
      <c r="H505" s="21"/>
      <c r="I505" s="21"/>
      <c r="J505" s="21"/>
      <c r="K505" s="21"/>
      <c r="L505" s="21"/>
      <c r="M505" s="16" t="str">
        <f t="shared" si="5"/>
        <v/>
      </c>
      <c r="N505" s="21" t="str">
        <f t="shared" si="6"/>
        <v/>
      </c>
    </row>
    <row r="506" ht="13.5" customHeight="1">
      <c r="A506" s="2"/>
      <c r="B506" s="2" t="s">
        <v>1759</v>
      </c>
      <c r="C506" s="6" t="s">
        <v>1760</v>
      </c>
      <c r="D506" s="6">
        <v>1.0</v>
      </c>
      <c r="E506" s="6">
        <v>1.0</v>
      </c>
      <c r="F506" s="6">
        <v>1.0</v>
      </c>
      <c r="G506" s="40">
        <v>2.0</v>
      </c>
      <c r="H506" s="21">
        <v>2.0</v>
      </c>
      <c r="I506" s="21">
        <v>6.0</v>
      </c>
      <c r="J506" s="21"/>
      <c r="K506" s="21"/>
      <c r="L506" s="21"/>
      <c r="M506" s="16">
        <f t="shared" si="5"/>
        <v>24</v>
      </c>
      <c r="N506" s="21">
        <f t="shared" si="6"/>
        <v>81</v>
      </c>
    </row>
    <row r="507" ht="13.5" customHeight="1">
      <c r="A507" s="2"/>
      <c r="B507" s="2" t="s">
        <v>1761</v>
      </c>
      <c r="C507" s="6" t="s">
        <v>1762</v>
      </c>
      <c r="D507" s="6">
        <v>1.0</v>
      </c>
      <c r="E507" s="6">
        <v>1.0</v>
      </c>
      <c r="F507" s="6">
        <v>1.0</v>
      </c>
      <c r="G507" s="40">
        <v>2.0</v>
      </c>
      <c r="H507" s="21">
        <v>2.0</v>
      </c>
      <c r="I507" s="21">
        <v>6.0</v>
      </c>
      <c r="J507" s="21"/>
      <c r="K507" s="21"/>
      <c r="L507" s="21"/>
      <c r="M507" s="16">
        <f t="shared" si="5"/>
        <v>24</v>
      </c>
      <c r="N507" s="21">
        <f t="shared" si="6"/>
        <v>81</v>
      </c>
    </row>
    <row r="508" ht="13.5" customHeight="1">
      <c r="A508" s="2"/>
      <c r="B508" s="2" t="s">
        <v>1766</v>
      </c>
      <c r="C508" s="6" t="s">
        <v>1768</v>
      </c>
      <c r="D508" s="6">
        <v>1.0</v>
      </c>
      <c r="E508" s="6">
        <v>1.0</v>
      </c>
      <c r="F508" s="6">
        <v>1.0</v>
      </c>
      <c r="G508" s="40">
        <v>2.0</v>
      </c>
      <c r="H508" s="21">
        <v>1.0</v>
      </c>
      <c r="I508" s="21">
        <v>6.0</v>
      </c>
      <c r="J508" s="21"/>
      <c r="K508" s="21"/>
      <c r="L508" s="21"/>
      <c r="M508" s="16">
        <f t="shared" si="5"/>
        <v>12</v>
      </c>
      <c r="N508" s="21">
        <f t="shared" si="6"/>
        <v>89</v>
      </c>
    </row>
    <row r="509" ht="13.5" customHeight="1">
      <c r="A509" s="2"/>
      <c r="B509" s="2" t="s">
        <v>1772</v>
      </c>
      <c r="C509" s="6" t="s">
        <v>1774</v>
      </c>
      <c r="D509" s="6">
        <v>1.0</v>
      </c>
      <c r="E509" s="6">
        <v>1.0</v>
      </c>
      <c r="F509" s="6">
        <v>1.0</v>
      </c>
      <c r="G509" s="40">
        <v>2.0</v>
      </c>
      <c r="H509" s="21">
        <v>1.0</v>
      </c>
      <c r="I509" s="21">
        <v>9.0</v>
      </c>
      <c r="J509" s="21"/>
      <c r="K509" s="21"/>
      <c r="L509" s="21"/>
      <c r="M509" s="16">
        <f t="shared" si="5"/>
        <v>18</v>
      </c>
      <c r="N509" s="21">
        <f t="shared" si="6"/>
        <v>85</v>
      </c>
    </row>
    <row r="510" ht="13.5" customHeight="1">
      <c r="A510" s="2"/>
      <c r="B510" s="2" t="s">
        <v>1782</v>
      </c>
      <c r="C510" s="6" t="s">
        <v>1784</v>
      </c>
      <c r="D510" s="6">
        <v>1.0</v>
      </c>
      <c r="E510" s="6">
        <v>1.0</v>
      </c>
      <c r="F510" s="6">
        <v>1.0</v>
      </c>
      <c r="G510" s="40">
        <v>2.0</v>
      </c>
      <c r="H510" s="21">
        <v>1.0</v>
      </c>
      <c r="I510" s="21">
        <v>11.0</v>
      </c>
      <c r="J510" s="21"/>
      <c r="K510" s="21"/>
      <c r="L510" s="21"/>
      <c r="M510" s="16">
        <f t="shared" si="5"/>
        <v>22</v>
      </c>
      <c r="N510" s="21">
        <f t="shared" si="6"/>
        <v>82</v>
      </c>
    </row>
    <row r="511" ht="13.5" customHeight="1">
      <c r="A511" s="2"/>
      <c r="B511" s="2" t="s">
        <v>1788</v>
      </c>
      <c r="C511" s="6" t="s">
        <v>1789</v>
      </c>
      <c r="D511" s="6">
        <v>1.0</v>
      </c>
      <c r="E511" s="6">
        <v>1.0</v>
      </c>
      <c r="F511" s="6">
        <v>1.0</v>
      </c>
      <c r="G511" s="32">
        <v>1.0</v>
      </c>
      <c r="H511" s="21">
        <v>1.0</v>
      </c>
      <c r="I511" s="21">
        <v>16.0</v>
      </c>
      <c r="J511" s="21"/>
      <c r="K511" s="21"/>
      <c r="L511" s="21"/>
      <c r="M511" s="16">
        <f t="shared" si="5"/>
        <v>16</v>
      </c>
      <c r="N511" s="21">
        <f t="shared" si="6"/>
        <v>86</v>
      </c>
    </row>
    <row r="512" ht="13.5" customHeight="1">
      <c r="A512" s="2"/>
      <c r="B512" s="2" t="s">
        <v>1795</v>
      </c>
      <c r="C512" s="6" t="s">
        <v>1796</v>
      </c>
      <c r="D512" s="6">
        <v>1.0</v>
      </c>
      <c r="E512" s="6">
        <v>1.0</v>
      </c>
      <c r="F512" s="6">
        <v>1.0</v>
      </c>
      <c r="G512" s="40">
        <v>3.0</v>
      </c>
      <c r="H512" s="21">
        <v>2.0</v>
      </c>
      <c r="I512" s="21">
        <v>20.0</v>
      </c>
      <c r="J512" s="21"/>
      <c r="K512" s="21"/>
      <c r="L512" s="21"/>
      <c r="M512" s="16">
        <f t="shared" si="5"/>
        <v>120</v>
      </c>
      <c r="N512" s="21">
        <f t="shared" si="6"/>
        <v>45</v>
      </c>
    </row>
    <row r="513" ht="13.5" customHeight="1">
      <c r="A513" s="2"/>
      <c r="B513" s="2" t="s">
        <v>1801</v>
      </c>
      <c r="C513" s="6" t="s">
        <v>1802</v>
      </c>
      <c r="D513" s="6">
        <v>1.0</v>
      </c>
      <c r="E513" s="6">
        <v>1.0</v>
      </c>
      <c r="F513" s="6">
        <v>1.0</v>
      </c>
      <c r="G513" s="32">
        <v>1.0</v>
      </c>
      <c r="H513" s="21">
        <v>1.0</v>
      </c>
      <c r="I513" s="21">
        <v>30.0</v>
      </c>
      <c r="J513" s="21"/>
      <c r="K513" s="21"/>
      <c r="L513" s="21"/>
      <c r="M513" s="16">
        <f t="shared" si="5"/>
        <v>30</v>
      </c>
      <c r="N513" s="21">
        <f t="shared" si="6"/>
        <v>77</v>
      </c>
    </row>
    <row r="514" ht="13.5" customHeight="1">
      <c r="A514" s="2"/>
      <c r="B514" s="2" t="s">
        <v>1806</v>
      </c>
      <c r="C514" s="6" t="s">
        <v>1808</v>
      </c>
      <c r="D514" s="6">
        <v>1.0</v>
      </c>
      <c r="E514" s="6">
        <v>1.0</v>
      </c>
      <c r="F514" s="6">
        <v>1.0</v>
      </c>
      <c r="G514" s="40">
        <v>2.0</v>
      </c>
      <c r="H514" s="21">
        <v>1.0</v>
      </c>
      <c r="I514" s="21">
        <v>30.0</v>
      </c>
      <c r="J514" s="21"/>
      <c r="K514" s="21"/>
      <c r="L514" s="21"/>
      <c r="M514" s="16">
        <f t="shared" si="5"/>
        <v>60</v>
      </c>
      <c r="N514" s="21">
        <f t="shared" si="6"/>
        <v>63</v>
      </c>
    </row>
    <row r="515" ht="13.5" customHeight="1">
      <c r="A515" s="2"/>
      <c r="B515" s="2" t="s">
        <v>1812</v>
      </c>
      <c r="C515" s="6" t="s">
        <v>1814</v>
      </c>
      <c r="D515" s="6">
        <v>1.0</v>
      </c>
      <c r="E515" s="6">
        <v>1.0</v>
      </c>
      <c r="F515" s="6">
        <v>1.0</v>
      </c>
      <c r="G515" s="32">
        <v>1.0</v>
      </c>
      <c r="H515" s="21">
        <v>2.0</v>
      </c>
      <c r="I515" s="21">
        <v>30.0</v>
      </c>
      <c r="J515" s="21"/>
      <c r="K515" s="21"/>
      <c r="L515" s="21"/>
      <c r="M515" s="16">
        <f t="shared" si="5"/>
        <v>60</v>
      </c>
      <c r="N515" s="21">
        <f t="shared" si="6"/>
        <v>63</v>
      </c>
    </row>
    <row r="516" ht="13.5" customHeight="1">
      <c r="A516" s="2"/>
      <c r="B516" s="2" t="s">
        <v>1823</v>
      </c>
      <c r="C516" s="6" t="s">
        <v>1824</v>
      </c>
      <c r="D516" s="6">
        <v>1.0</v>
      </c>
      <c r="E516" s="6">
        <v>1.0</v>
      </c>
      <c r="F516" s="6">
        <v>1.0</v>
      </c>
      <c r="G516" s="32">
        <v>1.0</v>
      </c>
      <c r="H516" s="21">
        <v>2.0</v>
      </c>
      <c r="I516" s="21">
        <v>30.0</v>
      </c>
      <c r="J516" s="21"/>
      <c r="K516" s="21"/>
      <c r="L516" s="21"/>
      <c r="M516" s="16">
        <f t="shared" si="5"/>
        <v>60</v>
      </c>
      <c r="N516" s="21">
        <f t="shared" si="6"/>
        <v>63</v>
      </c>
    </row>
    <row r="517" ht="13.5" customHeight="1">
      <c r="A517" s="2"/>
      <c r="B517" s="2" t="s">
        <v>1830</v>
      </c>
      <c r="C517" s="6" t="s">
        <v>1831</v>
      </c>
      <c r="D517" s="6">
        <v>1.0</v>
      </c>
      <c r="E517" s="6">
        <v>1.0</v>
      </c>
      <c r="F517" s="6">
        <v>1.0</v>
      </c>
      <c r="G517" s="32">
        <v>1.0</v>
      </c>
      <c r="H517" s="21">
        <v>2.0</v>
      </c>
      <c r="I517" s="21">
        <v>30.0</v>
      </c>
      <c r="J517" s="21"/>
      <c r="K517" s="21"/>
      <c r="L517" s="21"/>
      <c r="M517" s="16">
        <f t="shared" si="5"/>
        <v>60</v>
      </c>
      <c r="N517" s="21">
        <f t="shared" si="6"/>
        <v>63</v>
      </c>
    </row>
    <row r="518" ht="13.5" customHeight="1">
      <c r="A518" s="2"/>
      <c r="B518" s="2" t="s">
        <v>1837</v>
      </c>
      <c r="C518" s="6" t="s">
        <v>1838</v>
      </c>
      <c r="D518" s="6">
        <v>1.0</v>
      </c>
      <c r="E518" s="6">
        <v>1.0</v>
      </c>
      <c r="F518" s="6">
        <v>1.0</v>
      </c>
      <c r="G518" s="40">
        <v>2.0</v>
      </c>
      <c r="H518" s="21">
        <v>1.0</v>
      </c>
      <c r="I518" s="21">
        <v>30.0</v>
      </c>
      <c r="J518" s="21"/>
      <c r="K518" s="21"/>
      <c r="L518" s="21"/>
      <c r="M518" s="16">
        <f t="shared" si="5"/>
        <v>60</v>
      </c>
      <c r="N518" s="21">
        <f t="shared" si="6"/>
        <v>63</v>
      </c>
    </row>
    <row r="519" ht="13.5" customHeight="1">
      <c r="A519" s="2"/>
      <c r="B519" s="2" t="s">
        <v>1846</v>
      </c>
      <c r="C519" s="3" t="s">
        <v>612</v>
      </c>
      <c r="D519" s="6">
        <v>1.0</v>
      </c>
      <c r="E519" s="6">
        <v>1.0</v>
      </c>
      <c r="F519" s="6">
        <v>1.0</v>
      </c>
      <c r="G519" s="40">
        <v>2.0</v>
      </c>
      <c r="H519" s="21">
        <v>1.0</v>
      </c>
      <c r="I519" s="21">
        <v>30.0</v>
      </c>
      <c r="J519" s="21"/>
      <c r="K519" s="21"/>
      <c r="L519" s="21"/>
      <c r="M519" s="16">
        <f t="shared" si="5"/>
        <v>60</v>
      </c>
      <c r="N519" s="21">
        <f t="shared" si="6"/>
        <v>63</v>
      </c>
    </row>
    <row r="520" ht="13.5" customHeight="1">
      <c r="A520" s="2"/>
      <c r="B520" s="2" t="s">
        <v>1851</v>
      </c>
      <c r="C520" s="3" t="s">
        <v>613</v>
      </c>
      <c r="D520" s="6">
        <v>1.0</v>
      </c>
      <c r="E520" s="6">
        <v>1.0</v>
      </c>
      <c r="F520" s="6">
        <v>1.0</v>
      </c>
      <c r="G520" s="40">
        <v>2.0</v>
      </c>
      <c r="H520" s="21">
        <v>1.0</v>
      </c>
      <c r="I520" s="21">
        <v>30.0</v>
      </c>
      <c r="J520" s="21"/>
      <c r="K520" s="21"/>
      <c r="L520" s="21"/>
      <c r="M520" s="16">
        <f t="shared" si="5"/>
        <v>60</v>
      </c>
      <c r="N520" s="21">
        <f t="shared" si="6"/>
        <v>63</v>
      </c>
    </row>
    <row r="521" ht="13.5" customHeight="1">
      <c r="A521" s="2"/>
      <c r="B521" s="2" t="s">
        <v>1858</v>
      </c>
      <c r="C521" s="6" t="s">
        <v>1860</v>
      </c>
      <c r="D521" s="6">
        <v>1.0</v>
      </c>
      <c r="E521" s="6">
        <v>1.0</v>
      </c>
      <c r="F521" s="6">
        <v>1.0</v>
      </c>
      <c r="G521" s="32">
        <v>1.0</v>
      </c>
      <c r="H521" s="21">
        <v>2.0</v>
      </c>
      <c r="I521" s="21">
        <v>30.0</v>
      </c>
      <c r="J521" s="21"/>
      <c r="K521" s="21"/>
      <c r="L521" s="21"/>
      <c r="M521" s="16">
        <f t="shared" si="5"/>
        <v>60</v>
      </c>
      <c r="N521" s="21">
        <f t="shared" si="6"/>
        <v>63</v>
      </c>
    </row>
    <row r="522" ht="13.5" customHeight="1">
      <c r="A522" s="2"/>
      <c r="B522" s="2" t="s">
        <v>1869</v>
      </c>
      <c r="C522" s="6" t="s">
        <v>1870</v>
      </c>
      <c r="D522" s="6">
        <v>1.0</v>
      </c>
      <c r="E522" s="6">
        <v>1.0</v>
      </c>
      <c r="F522" s="6">
        <v>1.0</v>
      </c>
      <c r="G522" s="32">
        <v>1.0</v>
      </c>
      <c r="H522" s="21">
        <v>2.0</v>
      </c>
      <c r="I522" s="21">
        <v>30.0</v>
      </c>
      <c r="J522" s="21"/>
      <c r="K522" s="21"/>
      <c r="L522" s="21"/>
      <c r="M522" s="16">
        <f t="shared" si="5"/>
        <v>60</v>
      </c>
      <c r="N522" s="21">
        <f t="shared" si="6"/>
        <v>63</v>
      </c>
    </row>
    <row r="523" ht="13.5" customHeight="1">
      <c r="A523" s="2"/>
      <c r="B523" s="2" t="s">
        <v>1873</v>
      </c>
      <c r="C523" s="6" t="s">
        <v>1874</v>
      </c>
      <c r="D523" s="6">
        <v>1.0</v>
      </c>
      <c r="E523" s="6">
        <v>1.0</v>
      </c>
      <c r="F523" s="6">
        <v>1.0</v>
      </c>
      <c r="G523" s="32">
        <v>1.0</v>
      </c>
      <c r="H523" s="21">
        <v>2.0</v>
      </c>
      <c r="I523" s="21">
        <v>30.0</v>
      </c>
      <c r="J523" s="21"/>
      <c r="K523" s="21"/>
      <c r="L523" s="21"/>
      <c r="M523" s="16">
        <f t="shared" si="5"/>
        <v>60</v>
      </c>
      <c r="N523" s="21">
        <f t="shared" si="6"/>
        <v>63</v>
      </c>
    </row>
    <row r="524" ht="13.5" customHeight="1">
      <c r="A524" s="2"/>
      <c r="B524" s="2" t="s">
        <v>1879</v>
      </c>
      <c r="C524" s="6" t="s">
        <v>1880</v>
      </c>
      <c r="D524" s="6">
        <v>1.0</v>
      </c>
      <c r="E524" s="6">
        <v>1.0</v>
      </c>
      <c r="F524" s="6">
        <v>1.0</v>
      </c>
      <c r="G524" s="32">
        <v>1.0</v>
      </c>
      <c r="H524" s="21">
        <v>2.0</v>
      </c>
      <c r="I524" s="21">
        <v>30.0</v>
      </c>
      <c r="J524" s="21"/>
      <c r="K524" s="21"/>
      <c r="L524" s="21"/>
      <c r="M524" s="16">
        <f t="shared" si="5"/>
        <v>60</v>
      </c>
      <c r="N524" s="21">
        <f t="shared" si="6"/>
        <v>63</v>
      </c>
    </row>
    <row r="525" ht="13.5" customHeight="1">
      <c r="A525" s="2"/>
      <c r="B525" s="2" t="s">
        <v>1885</v>
      </c>
      <c r="C525" s="6" t="s">
        <v>1886</v>
      </c>
      <c r="D525" s="6">
        <v>1.0</v>
      </c>
      <c r="E525" s="6">
        <v>1.0</v>
      </c>
      <c r="F525" s="6">
        <v>1.0</v>
      </c>
      <c r="G525" s="32">
        <v>1.0</v>
      </c>
      <c r="H525" s="21">
        <v>2.0</v>
      </c>
      <c r="I525" s="21">
        <v>30.0</v>
      </c>
      <c r="J525" s="21"/>
      <c r="K525" s="21"/>
      <c r="L525" s="21"/>
      <c r="M525" s="16">
        <f t="shared" si="5"/>
        <v>60</v>
      </c>
      <c r="N525" s="21">
        <f t="shared" si="6"/>
        <v>63</v>
      </c>
    </row>
    <row r="526" ht="13.5" customHeight="1">
      <c r="A526" s="2"/>
      <c r="B526" s="2" t="s">
        <v>1889</v>
      </c>
      <c r="C526" s="6" t="s">
        <v>1890</v>
      </c>
      <c r="D526" s="6">
        <v>1.0</v>
      </c>
      <c r="E526" s="6">
        <v>1.0</v>
      </c>
      <c r="F526" s="6">
        <v>1.0</v>
      </c>
      <c r="G526" s="32">
        <v>1.0</v>
      </c>
      <c r="H526" s="21">
        <v>2.0</v>
      </c>
      <c r="I526" s="21">
        <v>100.0</v>
      </c>
      <c r="J526" s="21"/>
      <c r="K526" s="21"/>
      <c r="L526" s="21"/>
      <c r="M526" s="16">
        <f t="shared" si="5"/>
        <v>200</v>
      </c>
      <c r="N526" s="21">
        <f t="shared" si="6"/>
        <v>33</v>
      </c>
    </row>
    <row r="527" ht="13.5" customHeight="1">
      <c r="A527" s="2"/>
      <c r="B527" s="2" t="s">
        <v>1894</v>
      </c>
      <c r="C527" s="6" t="s">
        <v>1895</v>
      </c>
      <c r="D527" s="6">
        <v>1.0</v>
      </c>
      <c r="E527" s="6">
        <v>1.0</v>
      </c>
      <c r="F527" s="6">
        <v>1.0</v>
      </c>
      <c r="G527" s="32">
        <v>1.0</v>
      </c>
      <c r="H527" s="21">
        <v>2.0</v>
      </c>
      <c r="I527" s="21">
        <v>100.0</v>
      </c>
      <c r="J527" s="21"/>
      <c r="K527" s="21"/>
      <c r="L527" s="21"/>
      <c r="M527" s="16">
        <f t="shared" si="5"/>
        <v>200</v>
      </c>
      <c r="N527" s="21">
        <f t="shared" si="6"/>
        <v>33</v>
      </c>
    </row>
    <row r="528" ht="13.5" customHeight="1">
      <c r="A528" s="2"/>
      <c r="B528" s="2" t="s">
        <v>1899</v>
      </c>
      <c r="C528" s="6" t="s">
        <v>1900</v>
      </c>
      <c r="D528" s="6">
        <v>1.0</v>
      </c>
      <c r="E528" s="6">
        <v>1.0</v>
      </c>
      <c r="F528" s="6">
        <v>1.0</v>
      </c>
      <c r="G528" s="32">
        <v>2.0</v>
      </c>
      <c r="H528" s="21">
        <v>3.0</v>
      </c>
      <c r="I528" s="21">
        <v>10.0</v>
      </c>
      <c r="J528" s="21"/>
      <c r="K528" s="21"/>
      <c r="L528" s="21"/>
      <c r="M528" s="16">
        <f t="shared" si="5"/>
        <v>60</v>
      </c>
      <c r="N528" s="21">
        <f t="shared" si="6"/>
        <v>63</v>
      </c>
    </row>
    <row r="529" ht="13.5" customHeight="1">
      <c r="A529" s="2"/>
      <c r="B529" s="2" t="s">
        <v>1909</v>
      </c>
      <c r="C529" s="6" t="s">
        <v>1911</v>
      </c>
      <c r="D529" s="6">
        <v>1.0</v>
      </c>
      <c r="E529" s="6">
        <v>1.0</v>
      </c>
      <c r="F529" s="6">
        <v>1.0</v>
      </c>
      <c r="G529" s="40">
        <v>3.0</v>
      </c>
      <c r="H529" s="21">
        <v>4.0</v>
      </c>
      <c r="I529" s="21">
        <v>10.0</v>
      </c>
      <c r="J529" s="21"/>
      <c r="K529" s="21"/>
      <c r="L529" s="21"/>
      <c r="M529" s="16">
        <f t="shared" si="5"/>
        <v>120</v>
      </c>
      <c r="N529" s="21">
        <f t="shared" si="6"/>
        <v>45</v>
      </c>
    </row>
    <row r="530" ht="13.5" customHeight="1">
      <c r="A530" s="2"/>
      <c r="B530" s="2" t="s">
        <v>1914</v>
      </c>
      <c r="C530" s="6" t="s">
        <v>1915</v>
      </c>
      <c r="D530" s="6">
        <v>1.0</v>
      </c>
      <c r="E530" s="6">
        <v>1.0</v>
      </c>
      <c r="F530" s="6">
        <v>1.0</v>
      </c>
      <c r="G530" s="40">
        <v>3.0</v>
      </c>
      <c r="H530" s="21">
        <v>4.0</v>
      </c>
      <c r="I530" s="21">
        <v>10.0</v>
      </c>
      <c r="J530" s="21"/>
      <c r="K530" s="21"/>
      <c r="L530" s="21"/>
      <c r="M530" s="16">
        <f t="shared" si="5"/>
        <v>120</v>
      </c>
      <c r="N530" s="21">
        <f t="shared" si="6"/>
        <v>45</v>
      </c>
    </row>
    <row r="531" ht="13.5" customHeight="1">
      <c r="A531" s="2"/>
      <c r="B531" s="2" t="s">
        <v>1920</v>
      </c>
      <c r="C531" s="6" t="s">
        <v>1922</v>
      </c>
      <c r="D531" s="6">
        <v>1.0</v>
      </c>
      <c r="E531" s="6">
        <v>1.0</v>
      </c>
      <c r="F531" s="6">
        <v>1.0</v>
      </c>
      <c r="G531" s="40">
        <v>3.0</v>
      </c>
      <c r="H531" s="21">
        <v>5.0</v>
      </c>
      <c r="I531" s="21">
        <v>10.0</v>
      </c>
      <c r="J531" s="21"/>
      <c r="K531" s="21"/>
      <c r="L531" s="21"/>
      <c r="M531" s="16">
        <f t="shared" si="5"/>
        <v>150</v>
      </c>
      <c r="N531" s="21">
        <f t="shared" si="6"/>
        <v>40</v>
      </c>
    </row>
    <row r="532" ht="13.5" customHeight="1">
      <c r="A532" s="2"/>
      <c r="B532" s="2" t="s">
        <v>1929</v>
      </c>
      <c r="C532" s="6" t="s">
        <v>1930</v>
      </c>
      <c r="D532" s="6">
        <v>1.0</v>
      </c>
      <c r="E532" s="6">
        <v>1.0</v>
      </c>
      <c r="F532" s="6">
        <v>1.0</v>
      </c>
      <c r="G532" s="40">
        <v>3.0</v>
      </c>
      <c r="H532" s="21">
        <v>4.0</v>
      </c>
      <c r="I532" s="21">
        <v>7.0</v>
      </c>
      <c r="J532" s="21"/>
      <c r="K532" s="21"/>
      <c r="L532" s="21"/>
      <c r="M532" s="16">
        <f t="shared" si="5"/>
        <v>84</v>
      </c>
      <c r="N532" s="21">
        <f t="shared" si="6"/>
        <v>54</v>
      </c>
    </row>
    <row r="533" ht="13.5" customHeight="1">
      <c r="A533" s="2"/>
      <c r="B533" s="2" t="s">
        <v>1935</v>
      </c>
      <c r="C533" s="6" t="s">
        <v>1937</v>
      </c>
      <c r="D533" s="6">
        <v>1.0</v>
      </c>
      <c r="E533" s="6">
        <v>1.0</v>
      </c>
      <c r="F533" s="6">
        <v>1.0</v>
      </c>
      <c r="G533" s="32">
        <v>2.0</v>
      </c>
      <c r="H533" s="21">
        <v>3.0</v>
      </c>
      <c r="I533" s="21">
        <v>20.0</v>
      </c>
      <c r="J533" s="21"/>
      <c r="K533" s="21"/>
      <c r="L533" s="21"/>
      <c r="M533" s="16">
        <f t="shared" si="5"/>
        <v>120</v>
      </c>
      <c r="N533" s="21">
        <f t="shared" si="6"/>
        <v>45</v>
      </c>
    </row>
    <row r="534" ht="13.5" customHeight="1">
      <c r="A534" s="2"/>
      <c r="B534" s="2" t="s">
        <v>1944</v>
      </c>
      <c r="C534" s="6" t="s">
        <v>1946</v>
      </c>
      <c r="D534" s="6">
        <v>1.0</v>
      </c>
      <c r="E534" s="6">
        <v>1.0</v>
      </c>
      <c r="F534" s="6">
        <v>1.0</v>
      </c>
      <c r="G534" s="40">
        <v>3.0</v>
      </c>
      <c r="H534" s="21">
        <v>5.0</v>
      </c>
      <c r="I534" s="21">
        <v>5.0</v>
      </c>
      <c r="J534" s="21"/>
      <c r="K534" s="21"/>
      <c r="L534" s="21"/>
      <c r="M534" s="16">
        <f t="shared" si="5"/>
        <v>75</v>
      </c>
      <c r="N534" s="21">
        <f t="shared" si="6"/>
        <v>57</v>
      </c>
    </row>
    <row r="535" ht="13.5" customHeight="1">
      <c r="A535" s="2"/>
      <c r="B535" s="2" t="s">
        <v>1951</v>
      </c>
      <c r="C535" s="6" t="s">
        <v>1952</v>
      </c>
      <c r="D535" s="6">
        <v>1.0</v>
      </c>
      <c r="E535" s="6">
        <v>1.0</v>
      </c>
      <c r="F535" s="6">
        <v>1.0</v>
      </c>
      <c r="G535" s="40">
        <v>3.0</v>
      </c>
      <c r="H535" s="21">
        <v>5.0</v>
      </c>
      <c r="I535" s="21">
        <v>5.0</v>
      </c>
      <c r="J535" s="21"/>
      <c r="K535" s="21"/>
      <c r="L535" s="21"/>
      <c r="M535" s="16">
        <f t="shared" si="5"/>
        <v>75</v>
      </c>
      <c r="N535" s="21">
        <f t="shared" si="6"/>
        <v>57</v>
      </c>
    </row>
    <row r="536" ht="13.5" customHeight="1">
      <c r="A536" s="2"/>
      <c r="B536" s="2" t="s">
        <v>1957</v>
      </c>
      <c r="C536" s="6" t="s">
        <v>1959</v>
      </c>
      <c r="D536" s="6">
        <v>1.0</v>
      </c>
      <c r="E536" s="6">
        <v>1.0</v>
      </c>
      <c r="F536" s="6">
        <v>1.0</v>
      </c>
      <c r="G536" s="40">
        <v>2.0</v>
      </c>
      <c r="H536" s="21">
        <v>4.0</v>
      </c>
      <c r="I536" s="21">
        <v>130.0</v>
      </c>
      <c r="J536" s="21"/>
      <c r="K536" s="21"/>
      <c r="L536" s="21"/>
      <c r="M536" s="16">
        <f t="shared" si="5"/>
        <v>1040</v>
      </c>
      <c r="N536" s="21">
        <f t="shared" si="6"/>
        <v>9</v>
      </c>
    </row>
    <row r="537" ht="13.5" customHeight="1">
      <c r="A537" s="2"/>
      <c r="B537" s="2" t="s">
        <v>1965</v>
      </c>
      <c r="C537" s="6" t="s">
        <v>1966</v>
      </c>
      <c r="D537" s="6">
        <v>1.0</v>
      </c>
      <c r="E537" s="6">
        <v>1.0</v>
      </c>
      <c r="F537" s="6">
        <v>1.0</v>
      </c>
      <c r="G537" s="32">
        <v>2.0</v>
      </c>
      <c r="H537" s="21">
        <v>3.0</v>
      </c>
      <c r="I537" s="21">
        <v>150.0</v>
      </c>
      <c r="J537" s="21"/>
      <c r="K537" s="21"/>
      <c r="L537" s="21"/>
      <c r="M537" s="16">
        <f t="shared" si="5"/>
        <v>900</v>
      </c>
      <c r="N537" s="21">
        <f t="shared" si="6"/>
        <v>10</v>
      </c>
    </row>
    <row r="538" ht="13.5" customHeight="1">
      <c r="A538" s="2"/>
      <c r="B538" s="2" t="s">
        <v>1971</v>
      </c>
      <c r="C538" s="6" t="s">
        <v>1973</v>
      </c>
      <c r="D538" s="6">
        <v>1.0</v>
      </c>
      <c r="E538" s="6">
        <v>1.0</v>
      </c>
      <c r="F538" s="6">
        <v>1.0</v>
      </c>
      <c r="G538" s="32">
        <v>2.0</v>
      </c>
      <c r="H538" s="21">
        <v>4.0</v>
      </c>
      <c r="I538" s="21">
        <v>150.0</v>
      </c>
      <c r="J538" s="21"/>
      <c r="K538" s="21"/>
      <c r="L538" s="21"/>
      <c r="M538" s="16">
        <f t="shared" si="5"/>
        <v>1200</v>
      </c>
      <c r="N538" s="21">
        <f t="shared" si="6"/>
        <v>8</v>
      </c>
    </row>
    <row r="539" ht="13.5" customHeight="1">
      <c r="A539" s="2"/>
      <c r="B539" s="2" t="s">
        <v>1981</v>
      </c>
      <c r="C539" s="6" t="s">
        <v>1983</v>
      </c>
      <c r="D539" s="6">
        <v>1.0</v>
      </c>
      <c r="E539" s="6">
        <v>1.0</v>
      </c>
      <c r="F539" s="6">
        <v>1.0</v>
      </c>
      <c r="G539" s="32">
        <v>2.0</v>
      </c>
      <c r="H539" s="21">
        <v>3.0</v>
      </c>
      <c r="I539" s="21">
        <v>150.0</v>
      </c>
      <c r="J539" s="21"/>
      <c r="K539" s="21"/>
      <c r="L539" s="21"/>
      <c r="M539" s="16">
        <f t="shared" si="5"/>
        <v>900</v>
      </c>
      <c r="N539" s="21">
        <f t="shared" si="6"/>
        <v>10</v>
      </c>
    </row>
    <row r="540" ht="13.5" customHeight="1">
      <c r="A540" s="2"/>
      <c r="B540" s="2" t="s">
        <v>1993</v>
      </c>
      <c r="C540" s="6" t="s">
        <v>1995</v>
      </c>
      <c r="D540" s="6">
        <v>1.0</v>
      </c>
      <c r="E540" s="6">
        <v>1.0</v>
      </c>
      <c r="F540" s="6">
        <v>1.0</v>
      </c>
      <c r="G540" s="32">
        <v>2.0</v>
      </c>
      <c r="H540" s="21">
        <v>2.0</v>
      </c>
      <c r="I540" s="21">
        <v>200.0</v>
      </c>
      <c r="J540" s="21"/>
      <c r="K540" s="21"/>
      <c r="L540" s="21"/>
      <c r="M540" s="16">
        <f t="shared" si="5"/>
        <v>800</v>
      </c>
      <c r="N540" s="21">
        <f t="shared" si="6"/>
        <v>11</v>
      </c>
    </row>
    <row r="541" ht="13.5" customHeight="1">
      <c r="A541" s="2"/>
      <c r="B541" s="2" t="s">
        <v>2002</v>
      </c>
      <c r="C541" s="6" t="s">
        <v>2004</v>
      </c>
      <c r="D541" s="6">
        <v>1.0</v>
      </c>
      <c r="E541" s="6">
        <v>1.0</v>
      </c>
      <c r="F541" s="6">
        <v>1.0</v>
      </c>
      <c r="G541" s="32">
        <v>2.0</v>
      </c>
      <c r="H541" s="21">
        <v>2.0</v>
      </c>
      <c r="I541" s="21">
        <v>200.0</v>
      </c>
      <c r="J541" s="21"/>
      <c r="K541" s="21"/>
      <c r="L541" s="21"/>
      <c r="M541" s="16">
        <f t="shared" si="5"/>
        <v>800</v>
      </c>
      <c r="N541" s="21">
        <f t="shared" si="6"/>
        <v>11</v>
      </c>
    </row>
    <row r="542" ht="13.5" customHeight="1">
      <c r="A542" s="2"/>
      <c r="B542" s="2"/>
      <c r="C542" s="3" t="s">
        <v>2014</v>
      </c>
      <c r="D542" s="6">
        <v>1.0</v>
      </c>
      <c r="E542" s="6">
        <v>1.0</v>
      </c>
      <c r="F542" s="6">
        <v>1.0</v>
      </c>
      <c r="G542">
        <v>1.0</v>
      </c>
      <c r="H542" s="21">
        <v>3.0</v>
      </c>
      <c r="I542" s="21">
        <v>30.0</v>
      </c>
      <c r="J542" s="21"/>
      <c r="K542" s="21"/>
      <c r="L542" s="21"/>
      <c r="M542" s="16">
        <f t="shared" si="5"/>
        <v>90</v>
      </c>
      <c r="N542" s="21">
        <f t="shared" si="6"/>
        <v>53</v>
      </c>
    </row>
    <row r="543" ht="13.5" customHeight="1">
      <c r="A543" s="2"/>
      <c r="B543" s="2"/>
      <c r="C543" s="3" t="s">
        <v>2025</v>
      </c>
      <c r="D543" s="6">
        <v>1.0</v>
      </c>
      <c r="E543" s="6">
        <v>1.0</v>
      </c>
      <c r="F543" s="6">
        <v>1.0</v>
      </c>
      <c r="G543">
        <v>1.0</v>
      </c>
      <c r="H543" s="21">
        <v>3.0</v>
      </c>
      <c r="I543" s="21">
        <v>30.0</v>
      </c>
      <c r="J543" s="21"/>
      <c r="K543" s="21"/>
      <c r="L543" s="21"/>
      <c r="M543" s="16">
        <f t="shared" si="5"/>
        <v>90</v>
      </c>
      <c r="N543" s="21">
        <f t="shared" si="6"/>
        <v>53</v>
      </c>
    </row>
    <row r="544" ht="13.5" customHeight="1">
      <c r="A544" s="2"/>
      <c r="B544" s="2"/>
      <c r="C544" s="3" t="s">
        <v>2034</v>
      </c>
      <c r="D544" s="6">
        <v>1.0</v>
      </c>
      <c r="E544" s="6">
        <v>1.0</v>
      </c>
      <c r="F544" s="6">
        <v>1.0</v>
      </c>
      <c r="G544">
        <v>1.0</v>
      </c>
      <c r="H544" s="21">
        <v>3.0</v>
      </c>
      <c r="I544" s="21">
        <v>30.0</v>
      </c>
      <c r="J544" s="21"/>
      <c r="K544" s="21"/>
      <c r="L544" s="21"/>
      <c r="M544" s="16">
        <f t="shared" si="5"/>
        <v>90</v>
      </c>
      <c r="N544" s="21">
        <f t="shared" si="6"/>
        <v>53</v>
      </c>
    </row>
    <row r="545" ht="13.5" customHeight="1">
      <c r="A545" s="2"/>
      <c r="B545" s="2"/>
      <c r="C545" s="3" t="s">
        <v>2039</v>
      </c>
      <c r="D545" s="6">
        <v>1.0</v>
      </c>
      <c r="E545" s="6">
        <v>1.0</v>
      </c>
      <c r="F545" s="6">
        <v>1.0</v>
      </c>
      <c r="G545">
        <v>1.0</v>
      </c>
      <c r="H545" s="21">
        <v>2.0</v>
      </c>
      <c r="I545" s="21">
        <v>30.0</v>
      </c>
      <c r="J545" s="21"/>
      <c r="K545" s="21"/>
      <c r="L545" s="21"/>
      <c r="M545" s="16">
        <f t="shared" si="5"/>
        <v>60</v>
      </c>
      <c r="N545" s="21">
        <f t="shared" si="6"/>
        <v>63</v>
      </c>
    </row>
    <row r="546" ht="13.5" customHeight="1">
      <c r="A546" s="2"/>
      <c r="B546" s="2"/>
      <c r="C546" s="3" t="s">
        <v>2043</v>
      </c>
      <c r="D546" s="6">
        <v>1.0</v>
      </c>
      <c r="E546" s="6">
        <v>1.0</v>
      </c>
      <c r="F546" s="6">
        <v>1.0</v>
      </c>
      <c r="G546">
        <v>1.0</v>
      </c>
      <c r="H546" s="21">
        <v>2.0</v>
      </c>
      <c r="I546" s="21">
        <v>30.0</v>
      </c>
      <c r="J546" s="21"/>
      <c r="K546" s="21"/>
      <c r="L546" s="21"/>
      <c r="M546" s="16">
        <f t="shared" si="5"/>
        <v>60</v>
      </c>
      <c r="N546" s="21">
        <f t="shared" si="6"/>
        <v>63</v>
      </c>
    </row>
    <row r="547" ht="13.5" customHeight="1">
      <c r="A547" s="2"/>
      <c r="B547" s="2"/>
      <c r="C547" s="3" t="s">
        <v>2049</v>
      </c>
      <c r="D547" s="6">
        <v>1.0</v>
      </c>
      <c r="E547" s="6">
        <v>1.0</v>
      </c>
      <c r="F547" s="6">
        <v>1.0</v>
      </c>
      <c r="G547">
        <v>1.0</v>
      </c>
      <c r="H547" s="21">
        <v>2.0</v>
      </c>
      <c r="I547" s="21">
        <v>30.0</v>
      </c>
      <c r="J547" s="21"/>
      <c r="K547" s="21"/>
      <c r="L547" s="21"/>
      <c r="M547" s="16">
        <f t="shared" si="5"/>
        <v>60</v>
      </c>
      <c r="N547" s="21">
        <f t="shared" si="6"/>
        <v>63</v>
      </c>
    </row>
    <row r="548" ht="13.5" customHeight="1">
      <c r="A548" s="2"/>
      <c r="B548" s="2"/>
      <c r="C548" s="3" t="s">
        <v>2057</v>
      </c>
      <c r="D548" s="6">
        <v>1.0</v>
      </c>
      <c r="E548" s="6">
        <v>1.0</v>
      </c>
      <c r="F548" s="6">
        <v>1.0</v>
      </c>
      <c r="G548">
        <v>1.0</v>
      </c>
      <c r="H548" s="21">
        <v>2.0</v>
      </c>
      <c r="I548" s="21">
        <v>30.0</v>
      </c>
      <c r="J548" s="21"/>
      <c r="K548" s="21"/>
      <c r="L548" s="21"/>
      <c r="M548" s="16">
        <f t="shared" si="5"/>
        <v>60</v>
      </c>
      <c r="N548" s="21">
        <f t="shared" si="6"/>
        <v>63</v>
      </c>
    </row>
    <row r="549" ht="13.5" customHeight="1">
      <c r="A549" s="2"/>
      <c r="B549" s="2"/>
      <c r="C549" s="3" t="s">
        <v>2065</v>
      </c>
      <c r="D549" s="6">
        <v>1.0</v>
      </c>
      <c r="E549" s="6">
        <v>1.0</v>
      </c>
      <c r="F549" s="6">
        <v>1.0</v>
      </c>
      <c r="G549">
        <v>1.0</v>
      </c>
      <c r="H549" s="21">
        <v>2.0</v>
      </c>
      <c r="I549" s="21">
        <v>30.0</v>
      </c>
      <c r="J549" s="21"/>
      <c r="K549" s="21"/>
      <c r="L549" s="21"/>
      <c r="M549" s="16">
        <f t="shared" si="5"/>
        <v>60</v>
      </c>
      <c r="N549" s="21">
        <f t="shared" si="6"/>
        <v>63</v>
      </c>
    </row>
    <row r="550" ht="13.5" customHeight="1">
      <c r="A550" s="2"/>
      <c r="B550" s="2"/>
      <c r="C550" s="3" t="s">
        <v>2075</v>
      </c>
      <c r="D550" s="6">
        <v>1.0</v>
      </c>
      <c r="E550" s="6">
        <v>1.0</v>
      </c>
      <c r="F550" s="6">
        <v>1.0</v>
      </c>
      <c r="G550">
        <v>1.0</v>
      </c>
      <c r="H550" s="21">
        <v>2.0</v>
      </c>
      <c r="I550" s="21">
        <v>45.0</v>
      </c>
      <c r="J550" s="21"/>
      <c r="K550" s="21"/>
      <c r="L550" s="21"/>
      <c r="M550" s="16">
        <f t="shared" si="5"/>
        <v>90</v>
      </c>
      <c r="N550" s="21">
        <f t="shared" si="6"/>
        <v>53</v>
      </c>
    </row>
    <row r="551" ht="13.5" customHeight="1">
      <c r="A551" s="2"/>
      <c r="B551" s="2"/>
      <c r="C551" s="3" t="s">
        <v>2084</v>
      </c>
      <c r="D551" s="6">
        <v>1.0</v>
      </c>
      <c r="E551" s="6">
        <v>1.0</v>
      </c>
      <c r="F551" s="6">
        <v>1.0</v>
      </c>
      <c r="G551">
        <v>1.0</v>
      </c>
      <c r="H551" s="21">
        <v>2.0</v>
      </c>
      <c r="I551" s="21">
        <v>45.0</v>
      </c>
      <c r="J551" s="21"/>
      <c r="K551" s="21"/>
      <c r="L551" s="21"/>
      <c r="M551" s="16">
        <f t="shared" si="5"/>
        <v>90</v>
      </c>
      <c r="N551" s="21">
        <f t="shared" si="6"/>
        <v>53</v>
      </c>
    </row>
    <row r="552" ht="13.5" customHeight="1">
      <c r="A552" s="2"/>
      <c r="B552" s="2"/>
      <c r="C552" s="3" t="s">
        <v>2096</v>
      </c>
      <c r="D552" s="6">
        <v>1.0</v>
      </c>
      <c r="E552" s="6">
        <v>1.0</v>
      </c>
      <c r="F552" s="6">
        <v>1.0</v>
      </c>
      <c r="G552">
        <v>1.0</v>
      </c>
      <c r="H552" s="21">
        <v>2.0</v>
      </c>
      <c r="I552" s="21">
        <v>45.0</v>
      </c>
      <c r="J552" s="21"/>
      <c r="K552" s="21"/>
      <c r="L552" s="21"/>
      <c r="M552" s="16">
        <f t="shared" si="5"/>
        <v>90</v>
      </c>
      <c r="N552" s="21">
        <f t="shared" si="6"/>
        <v>53</v>
      </c>
    </row>
    <row r="553" ht="13.5" customHeight="1">
      <c r="A553" s="2"/>
      <c r="B553" s="2"/>
      <c r="C553" s="3" t="s">
        <v>2102</v>
      </c>
      <c r="D553" s="6">
        <v>1.0</v>
      </c>
      <c r="E553" s="6">
        <v>1.0</v>
      </c>
      <c r="F553" s="6">
        <v>1.0</v>
      </c>
      <c r="G553">
        <v>1.0</v>
      </c>
      <c r="H553" s="21">
        <v>2.0</v>
      </c>
      <c r="I553" s="21">
        <v>45.0</v>
      </c>
      <c r="J553" s="21"/>
      <c r="K553" s="21"/>
      <c r="L553" s="21"/>
      <c r="M553" s="16">
        <f t="shared" si="5"/>
        <v>90</v>
      </c>
      <c r="N553" s="21">
        <f t="shared" si="6"/>
        <v>53</v>
      </c>
    </row>
    <row r="554" ht="13.5" customHeight="1">
      <c r="A554" s="2"/>
      <c r="B554" s="2"/>
      <c r="C554" s="3" t="s">
        <v>2106</v>
      </c>
      <c r="D554" s="6">
        <v>1.0</v>
      </c>
      <c r="E554" s="6">
        <v>1.0</v>
      </c>
      <c r="F554" s="6">
        <v>1.0</v>
      </c>
      <c r="G554" s="6">
        <v>2.0</v>
      </c>
      <c r="H554" s="21">
        <v>3.0</v>
      </c>
      <c r="I554" s="21">
        <v>100.0</v>
      </c>
      <c r="J554" s="21"/>
      <c r="K554" s="21"/>
      <c r="L554" s="21"/>
      <c r="M554" s="16">
        <f t="shared" si="5"/>
        <v>600</v>
      </c>
      <c r="N554" s="21">
        <f t="shared" si="6"/>
        <v>14</v>
      </c>
    </row>
    <row r="555" ht="13.5" customHeight="1">
      <c r="A555" s="2"/>
      <c r="B555" s="2"/>
      <c r="C555" s="3" t="s">
        <v>2118</v>
      </c>
      <c r="D555" s="6">
        <v>1.0</v>
      </c>
      <c r="E555" s="6">
        <v>1.0</v>
      </c>
      <c r="F555" s="6">
        <v>1.0</v>
      </c>
      <c r="G555" s="6">
        <v>2.0</v>
      </c>
      <c r="H555" s="21">
        <v>3.0</v>
      </c>
      <c r="I555" s="21">
        <v>100.0</v>
      </c>
      <c r="J555" s="21"/>
      <c r="K555" s="21"/>
      <c r="L555" s="21"/>
      <c r="M555" s="16">
        <f t="shared" si="5"/>
        <v>600</v>
      </c>
      <c r="N555" s="21">
        <f t="shared" si="6"/>
        <v>14</v>
      </c>
    </row>
    <row r="556" ht="13.5" customHeight="1">
      <c r="A556" s="2"/>
      <c r="B556" s="2"/>
      <c r="C556" s="3" t="s">
        <v>2125</v>
      </c>
      <c r="D556" s="6">
        <v>1.0</v>
      </c>
      <c r="E556" s="6">
        <v>1.0</v>
      </c>
      <c r="F556" s="6">
        <v>1.0</v>
      </c>
      <c r="G556" s="6">
        <v>2.0</v>
      </c>
      <c r="H556" s="21">
        <v>3.0</v>
      </c>
      <c r="I556" s="21">
        <v>10.0</v>
      </c>
      <c r="J556" s="21"/>
      <c r="K556" s="21"/>
      <c r="L556" s="21"/>
      <c r="M556" s="16">
        <f t="shared" si="5"/>
        <v>60</v>
      </c>
      <c r="N556" s="21">
        <f t="shared" si="6"/>
        <v>63</v>
      </c>
    </row>
    <row r="557" ht="13.5" customHeight="1">
      <c r="A557" s="2"/>
      <c r="B557" s="2"/>
      <c r="C557" s="3" t="s">
        <v>2133</v>
      </c>
      <c r="D557" s="6">
        <v>1.0</v>
      </c>
      <c r="E557" s="6">
        <v>1.0</v>
      </c>
      <c r="F557" s="6">
        <v>1.0</v>
      </c>
      <c r="G557">
        <v>1.0</v>
      </c>
      <c r="H557" s="21">
        <v>1.0</v>
      </c>
      <c r="I557" s="21">
        <v>17.0</v>
      </c>
      <c r="J557" s="21"/>
      <c r="K557" s="21"/>
      <c r="L557" s="21"/>
      <c r="M557" s="16">
        <f t="shared" si="5"/>
        <v>17</v>
      </c>
      <c r="N557" s="21">
        <f t="shared" si="6"/>
        <v>85</v>
      </c>
    </row>
    <row r="558" ht="13.5" customHeight="1">
      <c r="A558" s="2"/>
      <c r="B558" s="2"/>
      <c r="C558" s="3" t="s">
        <v>2146</v>
      </c>
      <c r="D558" s="6">
        <v>1.0</v>
      </c>
      <c r="E558" s="6">
        <v>1.0</v>
      </c>
      <c r="F558" s="6">
        <v>1.0</v>
      </c>
      <c r="G558">
        <v>1.0</v>
      </c>
      <c r="H558" s="21">
        <v>1.0</v>
      </c>
      <c r="I558" s="21">
        <v>12.0</v>
      </c>
      <c r="J558" s="21"/>
      <c r="K558" s="21"/>
      <c r="L558" s="21"/>
      <c r="M558" s="16">
        <f t="shared" si="5"/>
        <v>12</v>
      </c>
      <c r="N558" s="21">
        <f t="shared" si="6"/>
        <v>89</v>
      </c>
    </row>
    <row r="559" ht="13.5" customHeight="1">
      <c r="A559" s="2"/>
      <c r="B559" s="2"/>
      <c r="C559" s="3" t="s">
        <v>2153</v>
      </c>
      <c r="D559" s="6">
        <v>1.0</v>
      </c>
      <c r="E559" s="6">
        <v>1.0</v>
      </c>
      <c r="F559" s="6">
        <v>1.0</v>
      </c>
      <c r="G559" s="6">
        <v>2.0</v>
      </c>
      <c r="H559" s="21">
        <v>1.0</v>
      </c>
      <c r="I559" s="21">
        <v>7.0</v>
      </c>
      <c r="J559" s="21"/>
      <c r="K559" s="21"/>
      <c r="L559" s="21"/>
      <c r="M559" s="16">
        <f t="shared" si="5"/>
        <v>14</v>
      </c>
      <c r="N559" s="21">
        <f t="shared" si="6"/>
        <v>88</v>
      </c>
    </row>
    <row r="560" ht="13.5" customHeight="1">
      <c r="A560" s="2"/>
      <c r="B560" s="2"/>
      <c r="C560" s="3" t="s">
        <v>2157</v>
      </c>
      <c r="D560" s="6">
        <v>1.0</v>
      </c>
      <c r="E560" s="6">
        <v>1.0</v>
      </c>
      <c r="F560" s="6">
        <v>1.0</v>
      </c>
      <c r="G560">
        <v>1.0</v>
      </c>
      <c r="H560" s="21">
        <v>1.0</v>
      </c>
      <c r="I560" s="21">
        <v>17.0</v>
      </c>
      <c r="J560" s="21"/>
      <c r="K560" s="21"/>
      <c r="L560" s="21"/>
      <c r="M560" s="16">
        <f t="shared" si="5"/>
        <v>17</v>
      </c>
      <c r="N560" s="21">
        <f t="shared" si="6"/>
        <v>85</v>
      </c>
    </row>
    <row r="561" ht="13.5" customHeight="1">
      <c r="A561" s="2"/>
      <c r="B561" s="2"/>
      <c r="C561" s="3" t="s">
        <v>2162</v>
      </c>
      <c r="D561" s="6">
        <v>1.0</v>
      </c>
      <c r="E561" s="6">
        <v>1.0</v>
      </c>
      <c r="F561" s="6">
        <v>1.0</v>
      </c>
      <c r="G561">
        <v>1.0</v>
      </c>
      <c r="H561" s="21">
        <v>1.0</v>
      </c>
      <c r="I561" s="21">
        <v>17.0</v>
      </c>
      <c r="J561" s="21"/>
      <c r="K561" s="21"/>
      <c r="L561" s="21"/>
      <c r="M561" s="16">
        <f t="shared" si="5"/>
        <v>17</v>
      </c>
      <c r="N561" s="21">
        <f t="shared" si="6"/>
        <v>85</v>
      </c>
    </row>
    <row r="562" ht="13.5" customHeight="1">
      <c r="A562" s="2"/>
      <c r="B562" s="2"/>
      <c r="C562" s="3" t="s">
        <v>2168</v>
      </c>
      <c r="D562" s="6">
        <v>1.0</v>
      </c>
      <c r="E562" s="6">
        <v>1.0</v>
      </c>
      <c r="F562" s="6">
        <v>1.0</v>
      </c>
      <c r="G562" s="6">
        <v>2.0</v>
      </c>
      <c r="H562" s="21">
        <v>3.0</v>
      </c>
      <c r="I562" s="21">
        <v>20.0</v>
      </c>
      <c r="J562" s="21"/>
      <c r="K562" s="21"/>
      <c r="L562" s="21"/>
      <c r="M562" s="16">
        <f t="shared" si="5"/>
        <v>120</v>
      </c>
      <c r="N562" s="21">
        <f t="shared" si="6"/>
        <v>45</v>
      </c>
    </row>
    <row r="563" ht="13.5" customHeight="1">
      <c r="A563" s="2"/>
      <c r="B563" s="2"/>
      <c r="C563" s="3" t="s">
        <v>2174</v>
      </c>
      <c r="D563" s="6">
        <v>1.0</v>
      </c>
      <c r="E563" s="6">
        <v>1.0</v>
      </c>
      <c r="F563" s="6">
        <v>1.0</v>
      </c>
      <c r="G563" s="6">
        <v>2.0</v>
      </c>
      <c r="H563" s="21">
        <v>3.0</v>
      </c>
      <c r="I563" s="21">
        <v>20.0</v>
      </c>
      <c r="J563" s="21"/>
      <c r="K563" s="21"/>
      <c r="L563" s="21"/>
      <c r="M563" s="16">
        <f t="shared" si="5"/>
        <v>120</v>
      </c>
      <c r="N563" s="21">
        <f t="shared" si="6"/>
        <v>45</v>
      </c>
    </row>
    <row r="564" ht="13.5" customHeight="1">
      <c r="A564" s="2"/>
      <c r="B564" s="2"/>
      <c r="C564" s="3" t="s">
        <v>2180</v>
      </c>
      <c r="D564" s="6">
        <v>1.0</v>
      </c>
      <c r="E564" s="6">
        <v>1.0</v>
      </c>
      <c r="F564" s="6">
        <v>1.0</v>
      </c>
      <c r="G564">
        <v>1.0</v>
      </c>
      <c r="H564" s="21">
        <v>2.0</v>
      </c>
      <c r="I564" s="21">
        <v>30.0</v>
      </c>
      <c r="J564" s="21"/>
      <c r="K564" s="21"/>
      <c r="L564" s="21"/>
      <c r="M564" s="16">
        <f t="shared" si="5"/>
        <v>60</v>
      </c>
      <c r="N564" s="21">
        <f t="shared" si="6"/>
        <v>63</v>
      </c>
    </row>
    <row r="565" ht="13.5" customHeight="1">
      <c r="A565" s="2"/>
      <c r="B565" s="2"/>
      <c r="C565" s="3" t="s">
        <v>2186</v>
      </c>
      <c r="D565" s="6">
        <v>1.0</v>
      </c>
      <c r="E565" s="6">
        <v>1.0</v>
      </c>
      <c r="F565" s="6">
        <v>1.0</v>
      </c>
      <c r="G565">
        <v>1.0</v>
      </c>
      <c r="H565" s="21">
        <v>2.0</v>
      </c>
      <c r="I565" s="21">
        <v>30.0</v>
      </c>
      <c r="J565" s="21"/>
      <c r="K565" s="21"/>
      <c r="L565" s="21"/>
      <c r="M565" s="16">
        <f t="shared" si="5"/>
        <v>60</v>
      </c>
      <c r="N565" s="21">
        <f t="shared" si="6"/>
        <v>63</v>
      </c>
    </row>
    <row r="566" ht="13.5" customHeight="1">
      <c r="A566" s="2"/>
      <c r="B566" s="2"/>
      <c r="C566" s="3" t="s">
        <v>2193</v>
      </c>
      <c r="D566" s="6">
        <v>1.0</v>
      </c>
      <c r="E566" s="6">
        <v>1.0</v>
      </c>
      <c r="F566" s="6">
        <v>1.0</v>
      </c>
      <c r="G566">
        <v>1.0</v>
      </c>
      <c r="H566" s="21">
        <v>2.0</v>
      </c>
      <c r="I566" s="21">
        <v>30.0</v>
      </c>
      <c r="J566" s="21"/>
      <c r="K566" s="21"/>
      <c r="L566" s="21"/>
      <c r="M566" s="16">
        <f t="shared" si="5"/>
        <v>60</v>
      </c>
      <c r="N566" s="21">
        <f t="shared" si="6"/>
        <v>63</v>
      </c>
    </row>
    <row r="567" ht="13.5" customHeight="1">
      <c r="A567" s="2"/>
      <c r="B567" s="2"/>
      <c r="C567" s="3" t="s">
        <v>2204</v>
      </c>
      <c r="D567" s="6">
        <v>1.0</v>
      </c>
      <c r="E567" s="6">
        <v>1.0</v>
      </c>
      <c r="F567" s="6">
        <v>1.0</v>
      </c>
      <c r="G567">
        <v>1.0</v>
      </c>
      <c r="H567" s="21">
        <v>2.0</v>
      </c>
      <c r="I567" s="21">
        <v>30.0</v>
      </c>
      <c r="J567" s="21"/>
      <c r="K567" s="21"/>
      <c r="L567" s="21"/>
      <c r="M567" s="16">
        <f t="shared" si="5"/>
        <v>60</v>
      </c>
      <c r="N567" s="21">
        <f t="shared" si="6"/>
        <v>63</v>
      </c>
    </row>
    <row r="568" ht="13.5" customHeight="1">
      <c r="A568" s="2"/>
      <c r="B568" s="2"/>
      <c r="C568" s="3" t="s">
        <v>2206</v>
      </c>
      <c r="D568" s="6">
        <v>1.0</v>
      </c>
      <c r="E568" s="6">
        <v>1.0</v>
      </c>
      <c r="F568" s="6">
        <v>1.0</v>
      </c>
      <c r="G568">
        <v>1.0</v>
      </c>
      <c r="H568" s="21">
        <v>2.0</v>
      </c>
      <c r="I568" s="21">
        <v>30.0</v>
      </c>
      <c r="J568" s="21"/>
      <c r="K568" s="21"/>
      <c r="L568" s="21"/>
      <c r="M568" s="16">
        <f t="shared" si="5"/>
        <v>60</v>
      </c>
      <c r="N568" s="21">
        <f t="shared" si="6"/>
        <v>63</v>
      </c>
    </row>
    <row r="569" ht="13.5" customHeight="1">
      <c r="A569" s="2"/>
      <c r="B569" s="2"/>
      <c r="C569" s="3" t="s">
        <v>2207</v>
      </c>
      <c r="D569" s="6">
        <v>1.0</v>
      </c>
      <c r="E569" s="6">
        <v>1.0</v>
      </c>
      <c r="F569" s="6">
        <v>1.0</v>
      </c>
      <c r="G569">
        <v>1.0</v>
      </c>
      <c r="H569" s="21">
        <v>2.0</v>
      </c>
      <c r="I569" s="21">
        <v>30.0</v>
      </c>
      <c r="J569" s="21"/>
      <c r="K569" s="21"/>
      <c r="L569" s="21"/>
      <c r="M569" s="16">
        <f t="shared" si="5"/>
        <v>60</v>
      </c>
      <c r="N569" s="21">
        <f t="shared" si="6"/>
        <v>63</v>
      </c>
    </row>
    <row r="570" ht="13.5" customHeight="1">
      <c r="A570" s="2"/>
      <c r="B570" s="2"/>
      <c r="C570" s="3" t="s">
        <v>2210</v>
      </c>
      <c r="D570" s="6">
        <v>1.0</v>
      </c>
      <c r="E570" s="6">
        <v>1.0</v>
      </c>
      <c r="F570" s="6">
        <v>1.0</v>
      </c>
      <c r="G570">
        <v>1.0</v>
      </c>
      <c r="H570" s="21">
        <v>2.0</v>
      </c>
      <c r="I570" s="21">
        <v>30.0</v>
      </c>
      <c r="J570" s="21"/>
      <c r="K570" s="21"/>
      <c r="L570" s="21"/>
      <c r="M570" s="16">
        <f t="shared" si="5"/>
        <v>60</v>
      </c>
      <c r="N570" s="21">
        <f t="shared" si="6"/>
        <v>63</v>
      </c>
    </row>
    <row r="571" ht="13.5" customHeight="1">
      <c r="A571" s="2"/>
      <c r="B571" s="2"/>
      <c r="C571" s="3" t="s">
        <v>2211</v>
      </c>
      <c r="D571" s="6">
        <v>1.0</v>
      </c>
      <c r="E571" s="6">
        <v>1.0</v>
      </c>
      <c r="F571" s="6">
        <v>1.0</v>
      </c>
      <c r="G571" s="6">
        <v>2.0</v>
      </c>
      <c r="H571" s="21">
        <v>4.0</v>
      </c>
      <c r="I571" s="21">
        <v>5.0</v>
      </c>
      <c r="J571" s="21"/>
      <c r="K571" s="21"/>
      <c r="L571" s="21"/>
      <c r="M571" s="16">
        <f t="shared" si="5"/>
        <v>40</v>
      </c>
      <c r="N571" s="21">
        <f t="shared" si="6"/>
        <v>71</v>
      </c>
    </row>
    <row r="572" ht="13.5" customHeight="1">
      <c r="A572" s="2"/>
      <c r="B572" s="2"/>
      <c r="C572" s="3" t="s">
        <v>2212</v>
      </c>
      <c r="D572" s="6">
        <v>1.0</v>
      </c>
      <c r="E572" s="6">
        <v>1.0</v>
      </c>
      <c r="F572" s="6">
        <v>1.0</v>
      </c>
      <c r="G572">
        <v>1.0</v>
      </c>
      <c r="H572" s="21">
        <v>2.0</v>
      </c>
      <c r="I572" s="21">
        <v>5.0</v>
      </c>
      <c r="J572" s="21"/>
      <c r="K572" s="21"/>
      <c r="L572" s="21"/>
      <c r="M572" s="16">
        <f t="shared" si="5"/>
        <v>10</v>
      </c>
      <c r="N572" s="21">
        <f t="shared" si="6"/>
        <v>91</v>
      </c>
    </row>
    <row r="573" ht="13.5" customHeight="1">
      <c r="A573" s="2"/>
      <c r="B573" s="2"/>
      <c r="C573" s="3" t="s">
        <v>2213</v>
      </c>
      <c r="D573" s="6">
        <v>1.0</v>
      </c>
      <c r="E573" s="6">
        <v>1.0</v>
      </c>
      <c r="F573" s="6">
        <v>1.0</v>
      </c>
      <c r="G573">
        <v>1.0</v>
      </c>
      <c r="H573" s="21">
        <v>2.0</v>
      </c>
      <c r="I573" s="21">
        <v>8.0</v>
      </c>
      <c r="J573" s="21"/>
      <c r="K573" s="21"/>
      <c r="L573" s="21"/>
      <c r="M573" s="16">
        <f t="shared" si="5"/>
        <v>16</v>
      </c>
      <c r="N573" s="21">
        <f t="shared" si="6"/>
        <v>86</v>
      </c>
    </row>
    <row r="574" ht="13.5" customHeight="1">
      <c r="A574" s="2"/>
      <c r="B574" s="2"/>
      <c r="C574" s="3" t="s">
        <v>2214</v>
      </c>
      <c r="D574" s="6">
        <v>1.0</v>
      </c>
      <c r="E574" s="6">
        <v>1.0</v>
      </c>
      <c r="F574" s="6">
        <v>1.0</v>
      </c>
      <c r="G574" s="6">
        <v>2.0</v>
      </c>
      <c r="H574" s="21">
        <v>3.0</v>
      </c>
      <c r="I574" s="21">
        <v>5.0</v>
      </c>
      <c r="J574" s="21"/>
      <c r="K574" s="21"/>
      <c r="L574" s="21"/>
      <c r="M574" s="16">
        <f t="shared" si="5"/>
        <v>30</v>
      </c>
      <c r="N574" s="21">
        <f t="shared" si="6"/>
        <v>77</v>
      </c>
    </row>
    <row r="575" ht="13.5" customHeight="1">
      <c r="A575" s="2"/>
      <c r="B575" s="2"/>
      <c r="C575" s="3" t="s">
        <v>2215</v>
      </c>
      <c r="D575" s="6">
        <v>1.0</v>
      </c>
      <c r="E575" s="6">
        <v>1.0</v>
      </c>
      <c r="F575" s="6">
        <v>1.0</v>
      </c>
      <c r="G575" s="6">
        <v>2.0</v>
      </c>
      <c r="H575" s="21">
        <v>3.0</v>
      </c>
      <c r="I575" s="21">
        <v>8.0</v>
      </c>
      <c r="J575" s="21"/>
      <c r="K575" s="21"/>
      <c r="L575" s="21"/>
      <c r="M575" s="16">
        <f t="shared" si="5"/>
        <v>48</v>
      </c>
      <c r="N575" s="21">
        <f t="shared" si="6"/>
        <v>68</v>
      </c>
    </row>
    <row r="576" ht="13.5" customHeight="1">
      <c r="A576" s="2"/>
      <c r="B576" s="2"/>
      <c r="C576" s="3" t="s">
        <v>2217</v>
      </c>
      <c r="D576" s="6">
        <v>1.0</v>
      </c>
      <c r="E576" s="6">
        <v>1.0</v>
      </c>
      <c r="F576" s="6">
        <v>1.0</v>
      </c>
      <c r="G576" s="6">
        <v>3.0</v>
      </c>
      <c r="H576" s="21">
        <v>8.0</v>
      </c>
      <c r="I576" s="21">
        <v>5.0</v>
      </c>
      <c r="J576" s="21"/>
      <c r="K576" s="21"/>
      <c r="L576" s="21"/>
      <c r="M576" s="16">
        <f t="shared" si="5"/>
        <v>120</v>
      </c>
      <c r="N576" s="21">
        <f t="shared" si="6"/>
        <v>45</v>
      </c>
    </row>
    <row r="577" ht="13.5" customHeight="1">
      <c r="A577" s="2"/>
      <c r="B577" s="2"/>
      <c r="C577" s="3" t="s">
        <v>2218</v>
      </c>
      <c r="D577" s="6">
        <v>1.0</v>
      </c>
      <c r="E577" s="6">
        <v>1.0</v>
      </c>
      <c r="F577" s="6">
        <v>1.0</v>
      </c>
      <c r="G577" s="6">
        <v>3.0</v>
      </c>
      <c r="H577" s="21">
        <v>8.0</v>
      </c>
      <c r="I577" s="21">
        <v>8.0</v>
      </c>
      <c r="J577" s="21"/>
      <c r="K577" s="21"/>
      <c r="L577" s="21"/>
      <c r="M577" s="16">
        <f t="shared" si="5"/>
        <v>192</v>
      </c>
      <c r="N577" s="21">
        <f t="shared" si="6"/>
        <v>34</v>
      </c>
    </row>
    <row r="578" ht="13.5" customHeight="1">
      <c r="A578" s="2"/>
      <c r="B578" s="2"/>
      <c r="C578" s="3" t="s">
        <v>2219</v>
      </c>
      <c r="D578" s="6">
        <v>1.0</v>
      </c>
      <c r="E578" s="6">
        <v>1.0</v>
      </c>
      <c r="F578" s="6">
        <v>1.0</v>
      </c>
      <c r="G578" s="6">
        <v>3.0</v>
      </c>
      <c r="H578" s="21">
        <v>10.0</v>
      </c>
      <c r="I578" s="21">
        <v>5.0</v>
      </c>
      <c r="J578" s="21"/>
      <c r="K578" s="21"/>
      <c r="L578" s="21"/>
      <c r="M578" s="16">
        <f t="shared" si="5"/>
        <v>150</v>
      </c>
      <c r="N578" s="21">
        <f t="shared" si="6"/>
        <v>40</v>
      </c>
    </row>
    <row r="579" ht="13.5" customHeight="1">
      <c r="A579" s="2"/>
      <c r="B579" s="2"/>
      <c r="C579" s="3" t="s">
        <v>2220</v>
      </c>
      <c r="D579" s="6">
        <v>1.0</v>
      </c>
      <c r="E579" s="6">
        <v>1.0</v>
      </c>
      <c r="F579" s="6">
        <v>1.0</v>
      </c>
      <c r="G579" s="6">
        <v>3.0</v>
      </c>
      <c r="H579" s="21">
        <v>10.0</v>
      </c>
      <c r="I579" s="21">
        <v>8.0</v>
      </c>
      <c r="J579" s="21"/>
      <c r="K579" s="21"/>
      <c r="L579" s="21"/>
      <c r="M579" s="16">
        <f t="shared" si="5"/>
        <v>240</v>
      </c>
      <c r="N579" s="21">
        <f t="shared" si="6"/>
        <v>29</v>
      </c>
    </row>
    <row r="580" ht="13.5" customHeight="1">
      <c r="A580" s="2"/>
      <c r="B580" s="2"/>
      <c r="C580" s="3" t="s">
        <v>2225</v>
      </c>
      <c r="D580" s="6">
        <v>1.0</v>
      </c>
      <c r="E580" s="6">
        <v>1.0</v>
      </c>
      <c r="F580" s="6">
        <v>1.0</v>
      </c>
      <c r="G580">
        <v>1.0</v>
      </c>
      <c r="H580" s="21">
        <v>2.0</v>
      </c>
      <c r="I580" s="21">
        <v>100.0</v>
      </c>
      <c r="J580" s="21"/>
      <c r="K580" s="21"/>
      <c r="L580" s="21"/>
      <c r="M580" s="16">
        <f t="shared" si="5"/>
        <v>200</v>
      </c>
      <c r="N580" s="21">
        <f t="shared" si="6"/>
        <v>33</v>
      </c>
    </row>
    <row r="581" ht="13.5" customHeight="1">
      <c r="A581" s="2"/>
      <c r="B581" s="2"/>
      <c r="C581" s="3" t="s">
        <v>2230</v>
      </c>
      <c r="D581" s="6">
        <v>1.0</v>
      </c>
      <c r="E581" s="6">
        <v>1.0</v>
      </c>
      <c r="F581" s="6">
        <v>1.0</v>
      </c>
      <c r="G581">
        <v>1.0</v>
      </c>
      <c r="H581" s="21">
        <v>2.0</v>
      </c>
      <c r="I581" s="21">
        <v>200.0</v>
      </c>
      <c r="J581" s="21"/>
      <c r="K581" s="21"/>
      <c r="L581" s="21"/>
      <c r="M581" s="16">
        <f t="shared" si="5"/>
        <v>400</v>
      </c>
      <c r="N581" s="21">
        <f t="shared" si="6"/>
        <v>20</v>
      </c>
    </row>
    <row r="582" ht="13.5" customHeight="1">
      <c r="A582" s="2"/>
      <c r="B582" s="2"/>
      <c r="C582" s="3" t="s">
        <v>2236</v>
      </c>
      <c r="D582" s="6">
        <v>1.0</v>
      </c>
      <c r="E582" s="6">
        <v>1.0</v>
      </c>
      <c r="F582" s="6">
        <v>1.0</v>
      </c>
      <c r="G582" s="6">
        <v>2.0</v>
      </c>
      <c r="H582" s="21">
        <v>3.0</v>
      </c>
      <c r="I582" s="21">
        <v>50.0</v>
      </c>
      <c r="J582" s="21"/>
      <c r="K582" s="21"/>
      <c r="L582" s="21"/>
      <c r="M582" s="16">
        <f t="shared" si="5"/>
        <v>300</v>
      </c>
      <c r="N582" s="21">
        <f t="shared" si="6"/>
        <v>25</v>
      </c>
    </row>
    <row r="583" ht="13.5" customHeight="1">
      <c r="A583" s="2"/>
      <c r="B583" s="2"/>
      <c r="C583" s="3" t="s">
        <v>2241</v>
      </c>
      <c r="D583" s="6">
        <v>1.0</v>
      </c>
      <c r="E583" s="6">
        <v>1.0</v>
      </c>
      <c r="F583" s="6">
        <v>1.0</v>
      </c>
      <c r="G583" s="6">
        <v>2.0</v>
      </c>
      <c r="H583" s="21">
        <v>3.0</v>
      </c>
      <c r="I583" s="21">
        <v>50.0</v>
      </c>
      <c r="J583" s="21"/>
      <c r="K583" s="21"/>
      <c r="L583" s="21"/>
      <c r="M583" s="16">
        <f t="shared" si="5"/>
        <v>300</v>
      </c>
      <c r="N583" s="21">
        <f t="shared" si="6"/>
        <v>25</v>
      </c>
    </row>
    <row r="584" ht="13.5" customHeight="1">
      <c r="A584" s="2"/>
      <c r="B584" s="2"/>
      <c r="C584" s="3" t="s">
        <v>2244</v>
      </c>
      <c r="D584" s="6">
        <v>1.0</v>
      </c>
      <c r="E584" s="6">
        <v>1.0</v>
      </c>
      <c r="F584" s="6">
        <v>1.0</v>
      </c>
      <c r="G584" s="6">
        <v>2.0</v>
      </c>
      <c r="H584" s="21">
        <v>3.0</v>
      </c>
      <c r="I584" s="21">
        <v>50.0</v>
      </c>
      <c r="J584" s="21"/>
      <c r="K584" s="21"/>
      <c r="L584" s="21"/>
      <c r="M584" s="16">
        <f t="shared" si="5"/>
        <v>300</v>
      </c>
      <c r="N584" s="21">
        <f t="shared" si="6"/>
        <v>25</v>
      </c>
    </row>
    <row r="585" ht="13.5" customHeight="1">
      <c r="A585" s="2"/>
      <c r="B585" s="2"/>
      <c r="C585" s="3" t="s">
        <v>2245</v>
      </c>
      <c r="D585" s="6">
        <v>1.0</v>
      </c>
      <c r="E585" s="6">
        <v>1.0</v>
      </c>
      <c r="F585" s="6">
        <v>1.0</v>
      </c>
      <c r="G585" s="6">
        <v>2.0</v>
      </c>
      <c r="H585" s="21">
        <v>3.0</v>
      </c>
      <c r="I585" s="21">
        <v>50.0</v>
      </c>
      <c r="J585" s="21"/>
      <c r="K585" s="21"/>
      <c r="L585" s="21"/>
      <c r="M585" s="16">
        <f t="shared" si="5"/>
        <v>300</v>
      </c>
      <c r="N585" s="21">
        <f t="shared" si="6"/>
        <v>25</v>
      </c>
    </row>
    <row r="586" ht="13.5" customHeight="1">
      <c r="A586" s="2"/>
      <c r="B586" s="2"/>
      <c r="C586" s="3" t="s">
        <v>2246</v>
      </c>
      <c r="D586" s="6">
        <v>1.0</v>
      </c>
      <c r="E586" s="6">
        <v>1.0</v>
      </c>
      <c r="F586" s="6">
        <v>1.0</v>
      </c>
      <c r="G586" s="6">
        <v>2.0</v>
      </c>
      <c r="H586" s="21">
        <v>3.0</v>
      </c>
      <c r="I586" s="21">
        <v>100.0</v>
      </c>
      <c r="J586" s="21"/>
      <c r="K586" s="21"/>
      <c r="L586" s="21"/>
      <c r="M586" s="16">
        <f t="shared" si="5"/>
        <v>600</v>
      </c>
      <c r="N586" s="21">
        <f t="shared" si="6"/>
        <v>14</v>
      </c>
    </row>
    <row r="587" ht="13.5" customHeight="1">
      <c r="A587" s="2"/>
      <c r="B587" s="2"/>
      <c r="C587" s="3" t="s">
        <v>2251</v>
      </c>
      <c r="D587" s="6">
        <v>1.0</v>
      </c>
      <c r="E587" s="6">
        <v>1.0</v>
      </c>
      <c r="F587" s="6">
        <v>1.0</v>
      </c>
      <c r="G587" s="6">
        <v>2.0</v>
      </c>
      <c r="H587" s="21">
        <v>3.0</v>
      </c>
      <c r="I587" s="21">
        <v>100.0</v>
      </c>
      <c r="J587" s="21"/>
      <c r="K587" s="21"/>
      <c r="L587" s="21"/>
      <c r="M587" s="16">
        <f t="shared" si="5"/>
        <v>600</v>
      </c>
      <c r="N587" s="21">
        <f t="shared" si="6"/>
        <v>14</v>
      </c>
    </row>
    <row r="588" ht="13.5" customHeight="1">
      <c r="A588" s="2"/>
      <c r="B588" s="2"/>
      <c r="C588" s="3" t="s">
        <v>2252</v>
      </c>
      <c r="D588" s="6">
        <v>1.0</v>
      </c>
      <c r="E588" s="6">
        <v>1.0</v>
      </c>
      <c r="F588" s="6">
        <v>1.0</v>
      </c>
      <c r="G588" s="6">
        <v>2.0</v>
      </c>
      <c r="H588" s="21">
        <v>3.0</v>
      </c>
      <c r="I588" s="21">
        <v>100.0</v>
      </c>
      <c r="J588" s="21"/>
      <c r="K588" s="21"/>
      <c r="L588" s="21"/>
      <c r="M588" s="16">
        <f t="shared" si="5"/>
        <v>600</v>
      </c>
      <c r="N588" s="21">
        <f t="shared" si="6"/>
        <v>14</v>
      </c>
    </row>
    <row r="589" ht="13.5" customHeight="1">
      <c r="A589" s="2"/>
      <c r="B589" s="2"/>
      <c r="C589" s="3" t="s">
        <v>2254</v>
      </c>
      <c r="D589" s="6">
        <v>1.0</v>
      </c>
      <c r="E589" s="6">
        <v>1.0</v>
      </c>
      <c r="F589" s="6">
        <v>1.0</v>
      </c>
      <c r="G589" s="6">
        <v>2.0</v>
      </c>
      <c r="H589" s="21">
        <v>3.0</v>
      </c>
      <c r="I589" s="21">
        <v>100.0</v>
      </c>
      <c r="J589" s="21"/>
      <c r="K589" s="21"/>
      <c r="L589" s="21"/>
      <c r="M589" s="16">
        <f t="shared" si="5"/>
        <v>600</v>
      </c>
      <c r="N589" s="21">
        <f t="shared" si="6"/>
        <v>14</v>
      </c>
    </row>
    <row r="590" ht="13.5" customHeight="1">
      <c r="A590" s="2"/>
      <c r="B590" s="2"/>
      <c r="C590" s="3" t="s">
        <v>2257</v>
      </c>
      <c r="D590" s="6">
        <v>1.0</v>
      </c>
      <c r="E590" s="6">
        <v>1.0</v>
      </c>
      <c r="F590" s="6">
        <v>1.0</v>
      </c>
      <c r="G590" s="6">
        <v>2.0</v>
      </c>
      <c r="H590" s="21">
        <v>3.0</v>
      </c>
      <c r="I590" s="21">
        <v>50.0</v>
      </c>
      <c r="J590" s="21"/>
      <c r="K590" s="21"/>
      <c r="L590" s="21"/>
      <c r="M590" s="16">
        <f t="shared" si="5"/>
        <v>300</v>
      </c>
      <c r="N590" s="21">
        <f t="shared" si="6"/>
        <v>25</v>
      </c>
    </row>
    <row r="591" ht="13.5" customHeight="1">
      <c r="A591" s="2"/>
      <c r="B591" s="2"/>
      <c r="C591" s="3" t="s">
        <v>2261</v>
      </c>
      <c r="D591" s="6">
        <v>1.0</v>
      </c>
      <c r="E591" s="6">
        <v>1.0</v>
      </c>
      <c r="F591" s="6">
        <v>1.0</v>
      </c>
      <c r="G591" s="6">
        <v>2.0</v>
      </c>
      <c r="H591" s="21">
        <v>3.0</v>
      </c>
      <c r="I591" s="21">
        <v>100.0</v>
      </c>
      <c r="J591" s="21"/>
      <c r="K591" s="21"/>
      <c r="L591" s="21"/>
      <c r="M591" s="16">
        <f t="shared" si="5"/>
        <v>600</v>
      </c>
      <c r="N591" s="21">
        <f t="shared" si="6"/>
        <v>14</v>
      </c>
    </row>
    <row r="592" ht="13.5" customHeight="1">
      <c r="A592" s="2"/>
      <c r="B592" s="2"/>
      <c r="C592" s="3" t="s">
        <v>2263</v>
      </c>
      <c r="D592" s="6">
        <v>1.0</v>
      </c>
      <c r="E592" s="6">
        <v>1.0</v>
      </c>
      <c r="F592" s="6">
        <v>1.0</v>
      </c>
      <c r="G592">
        <v>1.0</v>
      </c>
      <c r="H592" s="21">
        <v>2.0</v>
      </c>
      <c r="I592" s="21">
        <v>200.0</v>
      </c>
      <c r="J592" s="21"/>
      <c r="K592" s="21"/>
      <c r="L592" s="21"/>
      <c r="M592" s="16">
        <f t="shared" si="5"/>
        <v>400</v>
      </c>
      <c r="N592" s="21">
        <f t="shared" si="6"/>
        <v>20</v>
      </c>
    </row>
    <row r="593" ht="13.5" customHeight="1">
      <c r="A593" s="2"/>
      <c r="B593" s="2"/>
      <c r="C593" s="3" t="s">
        <v>2265</v>
      </c>
      <c r="D593" s="6">
        <v>1.0</v>
      </c>
      <c r="E593" s="6">
        <v>1.0</v>
      </c>
      <c r="F593" s="6">
        <v>1.0</v>
      </c>
      <c r="G593">
        <v>1.0</v>
      </c>
      <c r="H593" s="21">
        <v>2.0</v>
      </c>
      <c r="I593" s="21">
        <v>200.0</v>
      </c>
      <c r="J593" s="21"/>
      <c r="K593" s="21"/>
      <c r="L593" s="21"/>
      <c r="M593" s="16">
        <f t="shared" si="5"/>
        <v>400</v>
      </c>
      <c r="N593" s="21">
        <f t="shared" si="6"/>
        <v>20</v>
      </c>
    </row>
    <row r="594" ht="13.5" customHeight="1">
      <c r="A594" s="2"/>
      <c r="B594" s="2"/>
      <c r="C594" s="3" t="s">
        <v>2267</v>
      </c>
      <c r="D594" s="6">
        <v>1.0</v>
      </c>
      <c r="E594" s="6">
        <v>1.0</v>
      </c>
      <c r="F594" s="6">
        <v>1.0</v>
      </c>
      <c r="G594">
        <v>1.0</v>
      </c>
      <c r="H594" s="21">
        <v>2.0</v>
      </c>
      <c r="I594" s="21">
        <v>200.0</v>
      </c>
      <c r="J594" s="21"/>
      <c r="K594" s="21"/>
      <c r="L594" s="21"/>
      <c r="M594" s="16">
        <f t="shared" si="5"/>
        <v>400</v>
      </c>
      <c r="N594" s="21">
        <f t="shared" si="6"/>
        <v>20</v>
      </c>
    </row>
    <row r="595" ht="13.5" customHeight="1">
      <c r="A595" s="34" t="s">
        <v>2268</v>
      </c>
      <c r="B595" s="2"/>
      <c r="M595" s="16" t="str">
        <f t="shared" si="5"/>
        <v/>
      </c>
      <c r="N595" s="21" t="str">
        <f t="shared" si="6"/>
        <v/>
      </c>
    </row>
    <row r="596" ht="13.5" customHeight="1">
      <c r="A596" s="25"/>
      <c r="B596" s="2"/>
      <c r="C596" s="6" t="s">
        <v>2269</v>
      </c>
      <c r="D596" s="6">
        <v>1.0</v>
      </c>
      <c r="E596" s="6">
        <v>1.0</v>
      </c>
      <c r="F596" s="6">
        <v>1.0</v>
      </c>
      <c r="G596" s="6">
        <v>3.0</v>
      </c>
      <c r="H596" s="6">
        <v>3000.0</v>
      </c>
      <c r="I596" s="6">
        <v>1.0</v>
      </c>
      <c r="M596" s="16">
        <f t="shared" si="5"/>
        <v>9000</v>
      </c>
      <c r="N596" s="21">
        <f t="shared" si="6"/>
        <v>1</v>
      </c>
    </row>
    <row r="597" ht="13.5" customHeight="1">
      <c r="A597" s="25"/>
      <c r="B597" s="2"/>
      <c r="C597" s="6" t="s">
        <v>2271</v>
      </c>
      <c r="D597" s="6">
        <v>1.0</v>
      </c>
      <c r="E597" s="6">
        <v>1.0</v>
      </c>
      <c r="F597" s="6">
        <v>1.0</v>
      </c>
      <c r="G597" s="6">
        <v>1.0</v>
      </c>
      <c r="H597" s="6">
        <v>500.0</v>
      </c>
      <c r="I597" s="6">
        <v>1.0</v>
      </c>
      <c r="M597" s="16">
        <f t="shared" si="5"/>
        <v>500</v>
      </c>
      <c r="N597" s="21">
        <f t="shared" si="6"/>
        <v>17</v>
      </c>
    </row>
    <row r="598" ht="13.5" customHeight="1">
      <c r="A598" s="23" t="s">
        <v>2277</v>
      </c>
      <c r="B598" s="2"/>
      <c r="M598" s="16" t="str">
        <f t="shared" si="5"/>
        <v/>
      </c>
      <c r="N598" s="21" t="str">
        <f t="shared" si="6"/>
        <v/>
      </c>
    </row>
    <row r="599" ht="13.5" customHeight="1">
      <c r="A599" s="25"/>
      <c r="B599" s="2"/>
      <c r="C599" s="3" t="s">
        <v>803</v>
      </c>
      <c r="D599" s="6">
        <v>1.0</v>
      </c>
      <c r="E599" s="6">
        <v>1.0</v>
      </c>
      <c r="F599" s="6">
        <v>1.0</v>
      </c>
      <c r="G599" s="32">
        <v>1.0</v>
      </c>
      <c r="H599" s="6">
        <v>50.0</v>
      </c>
      <c r="I599" s="32">
        <v>1.0</v>
      </c>
      <c r="M599" s="16">
        <f t="shared" si="5"/>
        <v>50</v>
      </c>
      <c r="N599" s="21">
        <f t="shared" si="6"/>
        <v>67</v>
      </c>
    </row>
    <row r="600" ht="13.5" customHeight="1">
      <c r="A600" s="25"/>
      <c r="B600" s="2"/>
      <c r="C600" s="3" t="s">
        <v>805</v>
      </c>
      <c r="D600" s="6">
        <v>1.0</v>
      </c>
      <c r="E600" s="6">
        <v>1.0</v>
      </c>
      <c r="F600" s="6">
        <v>1.0</v>
      </c>
      <c r="G600" s="32">
        <v>1.0</v>
      </c>
      <c r="H600" s="6">
        <v>50.0</v>
      </c>
      <c r="I600" s="32">
        <v>1.0</v>
      </c>
      <c r="M600" s="16">
        <f t="shared" si="5"/>
        <v>50</v>
      </c>
      <c r="N600" s="21">
        <f t="shared" si="6"/>
        <v>67</v>
      </c>
    </row>
    <row r="601" ht="13.5" customHeight="1">
      <c r="A601" s="25"/>
      <c r="B601" s="2"/>
      <c r="C601" s="3" t="s">
        <v>806</v>
      </c>
      <c r="D601" s="6">
        <v>1.0</v>
      </c>
      <c r="E601" s="6">
        <v>1.0</v>
      </c>
      <c r="F601" s="6">
        <v>1.0</v>
      </c>
      <c r="G601" s="32">
        <v>1.0</v>
      </c>
      <c r="H601" s="6">
        <v>50.0</v>
      </c>
      <c r="I601" s="32">
        <v>1.0</v>
      </c>
      <c r="M601" s="16">
        <f t="shared" si="5"/>
        <v>50</v>
      </c>
      <c r="N601" s="21">
        <f t="shared" si="6"/>
        <v>67</v>
      </c>
    </row>
    <row r="602" ht="13.5" customHeight="1">
      <c r="A602" s="25"/>
      <c r="B602" s="2"/>
      <c r="C602" s="3" t="s">
        <v>807</v>
      </c>
      <c r="D602" s="6">
        <v>1.0</v>
      </c>
      <c r="E602" s="6">
        <v>1.0</v>
      </c>
      <c r="F602" s="6">
        <v>1.0</v>
      </c>
      <c r="G602" s="32">
        <v>1.0</v>
      </c>
      <c r="H602" s="6">
        <v>50.0</v>
      </c>
      <c r="I602" s="32">
        <v>1.0</v>
      </c>
      <c r="M602" s="16">
        <f t="shared" si="5"/>
        <v>50</v>
      </c>
      <c r="N602" s="21">
        <f t="shared" si="6"/>
        <v>67</v>
      </c>
    </row>
    <row r="603" ht="13.5" customHeight="1">
      <c r="A603" s="25"/>
      <c r="B603" s="2"/>
      <c r="C603" s="3" t="s">
        <v>808</v>
      </c>
      <c r="D603" s="6">
        <v>1.0</v>
      </c>
      <c r="E603" s="6">
        <v>1.0</v>
      </c>
      <c r="F603" s="6">
        <v>1.0</v>
      </c>
      <c r="G603" s="32">
        <v>1.0</v>
      </c>
      <c r="H603" s="6">
        <v>50.0</v>
      </c>
      <c r="I603" s="32">
        <v>1.0</v>
      </c>
      <c r="M603" s="16">
        <f t="shared" si="5"/>
        <v>50</v>
      </c>
      <c r="N603" s="21">
        <f t="shared" si="6"/>
        <v>67</v>
      </c>
    </row>
    <row r="604" ht="13.5" customHeight="1">
      <c r="A604" s="25"/>
      <c r="B604" s="2"/>
      <c r="C604" s="3" t="s">
        <v>810</v>
      </c>
      <c r="D604" s="6">
        <v>1.0</v>
      </c>
      <c r="E604" s="6">
        <v>1.0</v>
      </c>
      <c r="F604" s="6">
        <v>1.0</v>
      </c>
      <c r="G604" s="32">
        <v>1.0</v>
      </c>
      <c r="H604" s="6">
        <v>50.0</v>
      </c>
      <c r="I604" s="32">
        <v>1.0</v>
      </c>
      <c r="M604" s="16">
        <f t="shared" si="5"/>
        <v>50</v>
      </c>
      <c r="N604" s="21">
        <f t="shared" si="6"/>
        <v>67</v>
      </c>
    </row>
    <row r="605" ht="13.5" customHeight="1">
      <c r="A605" s="25"/>
      <c r="B605" s="2"/>
      <c r="C605" s="3" t="s">
        <v>811</v>
      </c>
      <c r="D605" s="6">
        <v>1.0</v>
      </c>
      <c r="E605" s="6">
        <v>1.0</v>
      </c>
      <c r="F605" s="6">
        <v>1.0</v>
      </c>
      <c r="G605" s="32">
        <v>1.0</v>
      </c>
      <c r="H605" s="6">
        <v>50.0</v>
      </c>
      <c r="I605" s="32">
        <v>1.0</v>
      </c>
      <c r="M605" s="16">
        <f t="shared" si="5"/>
        <v>50</v>
      </c>
      <c r="N605" s="21">
        <f t="shared" si="6"/>
        <v>67</v>
      </c>
    </row>
    <row r="606" ht="13.5" customHeight="1">
      <c r="A606" s="25"/>
      <c r="B606" s="2"/>
      <c r="C606" s="3" t="s">
        <v>812</v>
      </c>
      <c r="D606" s="6">
        <v>1.0</v>
      </c>
      <c r="E606" s="6">
        <v>1.0</v>
      </c>
      <c r="F606" s="6">
        <v>1.0</v>
      </c>
      <c r="G606" s="32">
        <v>2.0</v>
      </c>
      <c r="H606" s="6">
        <v>50.0</v>
      </c>
      <c r="I606" s="32">
        <v>1.0</v>
      </c>
      <c r="M606" s="16">
        <f t="shared" si="5"/>
        <v>100</v>
      </c>
      <c r="N606" s="21">
        <f t="shared" si="6"/>
        <v>50</v>
      </c>
    </row>
    <row r="607" ht="13.5" customHeight="1">
      <c r="A607" s="25"/>
      <c r="B607" s="2"/>
      <c r="C607" s="3" t="s">
        <v>814</v>
      </c>
      <c r="D607" s="6">
        <v>1.0</v>
      </c>
      <c r="E607" s="6">
        <v>1.0</v>
      </c>
      <c r="F607" s="6">
        <v>1.0</v>
      </c>
      <c r="G607" s="32">
        <v>2.0</v>
      </c>
      <c r="H607" s="6">
        <v>50.0</v>
      </c>
      <c r="I607" s="32">
        <v>1.0</v>
      </c>
      <c r="M607" s="16">
        <f t="shared" si="5"/>
        <v>100</v>
      </c>
      <c r="N607" s="21">
        <f t="shared" si="6"/>
        <v>50</v>
      </c>
    </row>
    <row r="608" ht="13.5" customHeight="1">
      <c r="A608" s="25"/>
      <c r="B608" s="2"/>
      <c r="C608" s="3" t="s">
        <v>816</v>
      </c>
      <c r="D608" s="6">
        <v>1.0</v>
      </c>
      <c r="E608" s="6">
        <v>1.0</v>
      </c>
      <c r="F608" s="6">
        <v>1.0</v>
      </c>
      <c r="G608" s="32">
        <v>2.0</v>
      </c>
      <c r="H608" s="6">
        <v>50.0</v>
      </c>
      <c r="I608" s="32">
        <v>1.0</v>
      </c>
      <c r="M608" s="16">
        <f t="shared" si="5"/>
        <v>100</v>
      </c>
      <c r="N608" s="21">
        <f t="shared" si="6"/>
        <v>50</v>
      </c>
    </row>
    <row r="609" ht="13.5" customHeight="1">
      <c r="A609" s="25"/>
      <c r="B609" s="2"/>
      <c r="C609" s="3" t="s">
        <v>817</v>
      </c>
      <c r="D609" s="6">
        <v>1.0</v>
      </c>
      <c r="E609" s="6">
        <v>1.0</v>
      </c>
      <c r="F609" s="6">
        <v>1.0</v>
      </c>
      <c r="G609" s="32">
        <v>2.0</v>
      </c>
      <c r="H609" s="6">
        <v>50.0</v>
      </c>
      <c r="I609" s="32">
        <v>1.0</v>
      </c>
      <c r="M609" s="16">
        <f t="shared" si="5"/>
        <v>100</v>
      </c>
      <c r="N609" s="21">
        <f t="shared" si="6"/>
        <v>50</v>
      </c>
    </row>
    <row r="610" ht="13.5" customHeight="1">
      <c r="A610" s="25"/>
      <c r="B610" s="2"/>
      <c r="C610" s="3" t="s">
        <v>818</v>
      </c>
      <c r="D610" s="6">
        <v>1.0</v>
      </c>
      <c r="E610" s="6">
        <v>1.0</v>
      </c>
      <c r="F610" s="6">
        <v>1.0</v>
      </c>
      <c r="G610" s="32">
        <v>2.0</v>
      </c>
      <c r="H610" s="6">
        <v>50.0</v>
      </c>
      <c r="I610" s="32">
        <v>3.0</v>
      </c>
      <c r="M610" s="16">
        <f t="shared" si="5"/>
        <v>300</v>
      </c>
      <c r="N610" s="21">
        <f t="shared" si="6"/>
        <v>25</v>
      </c>
    </row>
    <row r="611" ht="13.5" customHeight="1">
      <c r="A611" s="25"/>
      <c r="B611" s="2"/>
      <c r="C611" s="3" t="s">
        <v>819</v>
      </c>
      <c r="D611" s="6">
        <v>1.0</v>
      </c>
      <c r="E611" s="6">
        <v>1.0</v>
      </c>
      <c r="F611" s="6">
        <v>1.0</v>
      </c>
      <c r="G611" s="32">
        <v>2.0</v>
      </c>
      <c r="H611" s="6">
        <v>50.0</v>
      </c>
      <c r="I611" s="32">
        <v>3.0</v>
      </c>
      <c r="M611" s="16">
        <f t="shared" si="5"/>
        <v>300</v>
      </c>
      <c r="N611" s="21">
        <f t="shared" si="6"/>
        <v>25</v>
      </c>
    </row>
    <row r="612" ht="13.5" customHeight="1">
      <c r="A612" s="25"/>
      <c r="B612" s="2"/>
      <c r="C612" s="3" t="s">
        <v>820</v>
      </c>
      <c r="D612" s="6">
        <v>1.0</v>
      </c>
      <c r="E612" s="6">
        <v>1.0</v>
      </c>
      <c r="F612" s="6">
        <v>1.0</v>
      </c>
      <c r="G612" s="32">
        <v>2.0</v>
      </c>
      <c r="H612" s="6">
        <v>50.0</v>
      </c>
      <c r="I612" s="32">
        <v>3.0</v>
      </c>
      <c r="M612" s="16">
        <f t="shared" si="5"/>
        <v>300</v>
      </c>
      <c r="N612" s="21">
        <f t="shared" si="6"/>
        <v>25</v>
      </c>
    </row>
    <row r="613" ht="13.5" customHeight="1">
      <c r="A613" s="25"/>
      <c r="B613" s="2"/>
      <c r="C613" s="3" t="s">
        <v>822</v>
      </c>
      <c r="D613" s="6">
        <v>1.0</v>
      </c>
      <c r="E613" s="6">
        <v>1.0</v>
      </c>
      <c r="F613" s="6">
        <v>1.0</v>
      </c>
      <c r="G613" s="32">
        <v>2.0</v>
      </c>
      <c r="H613" s="6">
        <v>50.0</v>
      </c>
      <c r="I613" s="32">
        <v>3.0</v>
      </c>
      <c r="M613" s="16">
        <f t="shared" si="5"/>
        <v>300</v>
      </c>
      <c r="N613" s="21">
        <f t="shared" si="6"/>
        <v>25</v>
      </c>
    </row>
    <row r="614" ht="13.5" customHeight="1">
      <c r="A614" s="39" t="s">
        <v>1693</v>
      </c>
      <c r="B614" s="19" t="s">
        <v>2361</v>
      </c>
      <c r="C614" s="3" t="s">
        <v>2363</v>
      </c>
      <c r="D614" s="6">
        <v>1.0</v>
      </c>
      <c r="E614" s="6">
        <v>0.0</v>
      </c>
      <c r="F614" s="6">
        <v>1.0</v>
      </c>
      <c r="G614">
        <v>1.0</v>
      </c>
      <c r="H614" s="6">
        <v>50.0</v>
      </c>
      <c r="I614" s="21">
        <v>1.0</v>
      </c>
      <c r="J614" s="21"/>
      <c r="K614" s="21"/>
      <c r="L614" s="21"/>
      <c r="M614" s="16">
        <f t="shared" si="5"/>
        <v>50</v>
      </c>
      <c r="N614" s="21">
        <f t="shared" si="6"/>
        <v>67</v>
      </c>
    </row>
    <row r="615" ht="13.5" customHeight="1">
      <c r="A615" s="39" t="s">
        <v>1693</v>
      </c>
      <c r="B615" s="19" t="s">
        <v>2361</v>
      </c>
      <c r="C615" s="3" t="s">
        <v>2371</v>
      </c>
      <c r="D615" s="6">
        <v>1.0</v>
      </c>
      <c r="E615" s="6">
        <v>0.0</v>
      </c>
      <c r="F615" s="6">
        <v>1.0</v>
      </c>
      <c r="G615">
        <v>1.0</v>
      </c>
      <c r="H615" s="21">
        <v>50.0</v>
      </c>
      <c r="I615" s="21">
        <v>1.0</v>
      </c>
      <c r="J615" s="21"/>
      <c r="K615" s="21"/>
      <c r="L615" s="21"/>
      <c r="M615" s="16">
        <f t="shared" si="5"/>
        <v>50</v>
      </c>
      <c r="N615" s="21">
        <f t="shared" si="6"/>
        <v>67</v>
      </c>
    </row>
    <row r="616" ht="13.5" customHeight="1">
      <c r="A616" s="39" t="s">
        <v>1693</v>
      </c>
      <c r="B616" s="19" t="s">
        <v>2361</v>
      </c>
      <c r="C616" s="3" t="s">
        <v>2381</v>
      </c>
      <c r="D616" s="6">
        <v>1.0</v>
      </c>
      <c r="E616" s="6">
        <v>0.0</v>
      </c>
      <c r="F616" s="6">
        <v>1.0</v>
      </c>
      <c r="G616">
        <v>1.0</v>
      </c>
      <c r="H616" s="21">
        <v>50.0</v>
      </c>
      <c r="I616" s="21">
        <v>1.0</v>
      </c>
      <c r="J616" s="21"/>
      <c r="K616" s="21"/>
      <c r="L616" s="21"/>
      <c r="M616" s="16">
        <f t="shared" si="5"/>
        <v>50</v>
      </c>
      <c r="N616" s="21">
        <f t="shared" si="6"/>
        <v>67</v>
      </c>
    </row>
    <row r="617" ht="13.5" customHeight="1">
      <c r="A617" s="23" t="s">
        <v>2388</v>
      </c>
      <c r="B617" s="2"/>
      <c r="M617" s="16" t="str">
        <f t="shared" si="5"/>
        <v/>
      </c>
      <c r="N617" s="21" t="str">
        <f t="shared" si="6"/>
        <v/>
      </c>
    </row>
    <row r="618" ht="13.5" customHeight="1">
      <c r="A618" s="25"/>
      <c r="B618" s="2"/>
      <c r="C618" s="3" t="s">
        <v>748</v>
      </c>
      <c r="D618" s="6">
        <v>1.0</v>
      </c>
      <c r="E618" s="6">
        <v>1.0</v>
      </c>
      <c r="F618" s="6">
        <v>1.0</v>
      </c>
      <c r="G618" s="32">
        <v>1.0</v>
      </c>
      <c r="H618" s="6">
        <v>80.0</v>
      </c>
      <c r="I618" s="32">
        <v>1.0</v>
      </c>
      <c r="M618" s="16">
        <f t="shared" si="5"/>
        <v>80</v>
      </c>
      <c r="N618" s="21">
        <f t="shared" si="6"/>
        <v>56</v>
      </c>
    </row>
    <row r="619" ht="13.5" customHeight="1">
      <c r="A619" s="25"/>
      <c r="B619" s="2"/>
      <c r="C619" s="3" t="s">
        <v>750</v>
      </c>
      <c r="D619" s="6">
        <v>1.0</v>
      </c>
      <c r="E619" s="6">
        <v>1.0</v>
      </c>
      <c r="F619" s="6">
        <v>1.0</v>
      </c>
      <c r="G619" s="32">
        <v>1.0</v>
      </c>
      <c r="H619" s="6">
        <v>80.0</v>
      </c>
      <c r="I619" s="32">
        <v>1.0</v>
      </c>
      <c r="M619" s="16">
        <f t="shared" si="5"/>
        <v>80</v>
      </c>
      <c r="N619" s="21">
        <f t="shared" si="6"/>
        <v>56</v>
      </c>
    </row>
    <row r="620" ht="13.5" customHeight="1">
      <c r="A620" s="25"/>
      <c r="B620" s="2"/>
      <c r="C620" s="3" t="s">
        <v>751</v>
      </c>
      <c r="D620" s="6">
        <v>1.0</v>
      </c>
      <c r="E620" s="6">
        <v>1.0</v>
      </c>
      <c r="F620" s="6">
        <v>1.0</v>
      </c>
      <c r="G620" s="32">
        <v>1.0</v>
      </c>
      <c r="H620" s="6">
        <v>80.0</v>
      </c>
      <c r="I620" s="32">
        <v>1.0</v>
      </c>
      <c r="M620" s="16">
        <f t="shared" si="5"/>
        <v>80</v>
      </c>
      <c r="N620" s="21">
        <f t="shared" si="6"/>
        <v>56</v>
      </c>
    </row>
    <row r="621" ht="13.5" customHeight="1">
      <c r="A621" s="25"/>
      <c r="B621" s="2"/>
      <c r="C621" s="3" t="s">
        <v>752</v>
      </c>
      <c r="D621" s="6">
        <v>1.0</v>
      </c>
      <c r="E621" s="6">
        <v>1.0</v>
      </c>
      <c r="F621" s="6">
        <v>1.0</v>
      </c>
      <c r="G621" s="32">
        <v>1.0</v>
      </c>
      <c r="H621" s="6">
        <v>80.0</v>
      </c>
      <c r="I621" s="32">
        <v>1.0</v>
      </c>
      <c r="M621" s="16">
        <f t="shared" si="5"/>
        <v>80</v>
      </c>
      <c r="N621" s="21">
        <f t="shared" si="6"/>
        <v>56</v>
      </c>
    </row>
    <row r="622" ht="13.5" customHeight="1">
      <c r="A622" s="25"/>
      <c r="B622" s="2"/>
      <c r="C622" s="3" t="s">
        <v>753</v>
      </c>
      <c r="D622" s="6">
        <v>1.0</v>
      </c>
      <c r="E622" s="6">
        <v>1.0</v>
      </c>
      <c r="F622" s="6">
        <v>1.0</v>
      </c>
      <c r="G622" s="32">
        <v>1.0</v>
      </c>
      <c r="H622" s="6">
        <v>80.0</v>
      </c>
      <c r="I622" s="32">
        <v>1.0</v>
      </c>
      <c r="M622" s="16">
        <f t="shared" si="5"/>
        <v>80</v>
      </c>
      <c r="N622" s="21">
        <f t="shared" si="6"/>
        <v>56</v>
      </c>
    </row>
    <row r="623" ht="13.5" customHeight="1">
      <c r="A623" s="25"/>
      <c r="B623" s="2"/>
      <c r="C623" s="3" t="s">
        <v>755</v>
      </c>
      <c r="D623" s="6">
        <v>1.0</v>
      </c>
      <c r="E623" s="6">
        <v>1.0</v>
      </c>
      <c r="F623" s="6">
        <v>1.0</v>
      </c>
      <c r="G623" s="32">
        <v>1.0</v>
      </c>
      <c r="H623" s="6">
        <v>80.0</v>
      </c>
      <c r="I623" s="32">
        <v>1.0</v>
      </c>
      <c r="M623" s="16">
        <f t="shared" si="5"/>
        <v>80</v>
      </c>
      <c r="N623" s="21">
        <f t="shared" si="6"/>
        <v>56</v>
      </c>
    </row>
    <row r="624" ht="13.5" customHeight="1">
      <c r="A624" s="25"/>
      <c r="B624" s="2"/>
      <c r="C624" s="3" t="s">
        <v>756</v>
      </c>
      <c r="D624" s="6">
        <v>1.0</v>
      </c>
      <c r="E624" s="6">
        <v>1.0</v>
      </c>
      <c r="F624" s="6">
        <v>1.0</v>
      </c>
      <c r="G624" s="32">
        <v>1.0</v>
      </c>
      <c r="H624" s="6">
        <v>80.0</v>
      </c>
      <c r="I624" s="32">
        <v>1.0</v>
      </c>
      <c r="M624" s="16">
        <f t="shared" si="5"/>
        <v>80</v>
      </c>
      <c r="N624" s="21">
        <f t="shared" si="6"/>
        <v>56</v>
      </c>
    </row>
    <row r="625" ht="13.5" customHeight="1">
      <c r="A625" s="25"/>
      <c r="B625" s="2"/>
      <c r="C625" s="3" t="s">
        <v>758</v>
      </c>
      <c r="D625" s="6">
        <v>1.0</v>
      </c>
      <c r="E625" s="6">
        <v>1.0</v>
      </c>
      <c r="F625" s="6">
        <v>1.0</v>
      </c>
      <c r="G625" s="32">
        <v>2.0</v>
      </c>
      <c r="H625" s="6">
        <v>80.0</v>
      </c>
      <c r="I625" s="32">
        <v>1.0</v>
      </c>
      <c r="M625" s="16">
        <f t="shared" si="5"/>
        <v>160</v>
      </c>
      <c r="N625" s="21">
        <f t="shared" si="6"/>
        <v>38</v>
      </c>
    </row>
    <row r="626" ht="13.5" customHeight="1">
      <c r="A626" s="25"/>
      <c r="B626" s="2"/>
      <c r="C626" s="3" t="s">
        <v>760</v>
      </c>
      <c r="D626" s="6">
        <v>1.0</v>
      </c>
      <c r="E626" s="6">
        <v>1.0</v>
      </c>
      <c r="F626" s="6">
        <v>1.0</v>
      </c>
      <c r="G626" s="32">
        <v>2.0</v>
      </c>
      <c r="H626" s="6">
        <v>80.0</v>
      </c>
      <c r="I626" s="32">
        <v>1.0</v>
      </c>
      <c r="M626" s="16">
        <f t="shared" si="5"/>
        <v>160</v>
      </c>
      <c r="N626" s="21">
        <f t="shared" si="6"/>
        <v>38</v>
      </c>
    </row>
    <row r="627" ht="13.5" customHeight="1">
      <c r="A627" s="25"/>
      <c r="B627" s="2"/>
      <c r="C627" s="3" t="s">
        <v>761</v>
      </c>
      <c r="D627" s="6">
        <v>1.0</v>
      </c>
      <c r="E627" s="6">
        <v>1.0</v>
      </c>
      <c r="F627" s="6">
        <v>1.0</v>
      </c>
      <c r="G627" s="32">
        <v>2.0</v>
      </c>
      <c r="H627" s="6">
        <v>80.0</v>
      </c>
      <c r="I627" s="32">
        <v>1.0</v>
      </c>
      <c r="M627" s="16">
        <f t="shared" si="5"/>
        <v>160</v>
      </c>
      <c r="N627" s="21">
        <f t="shared" si="6"/>
        <v>38</v>
      </c>
    </row>
    <row r="628" ht="13.5" customHeight="1">
      <c r="A628" s="25"/>
      <c r="B628" s="2"/>
      <c r="C628" s="3" t="s">
        <v>763</v>
      </c>
      <c r="D628" s="6">
        <v>1.0</v>
      </c>
      <c r="E628" s="6">
        <v>1.0</v>
      </c>
      <c r="F628" s="6">
        <v>1.0</v>
      </c>
      <c r="G628" s="32">
        <v>2.0</v>
      </c>
      <c r="H628" s="6">
        <v>80.0</v>
      </c>
      <c r="I628" s="32">
        <v>1.0</v>
      </c>
      <c r="M628" s="16">
        <f t="shared" si="5"/>
        <v>160</v>
      </c>
      <c r="N628" s="21">
        <f t="shared" si="6"/>
        <v>38</v>
      </c>
    </row>
    <row r="629" ht="13.5" customHeight="1">
      <c r="A629" s="25"/>
      <c r="B629" s="2"/>
      <c r="C629" s="3" t="s">
        <v>764</v>
      </c>
      <c r="D629" s="6">
        <v>1.0</v>
      </c>
      <c r="E629" s="6">
        <v>1.0</v>
      </c>
      <c r="F629" s="6">
        <v>1.0</v>
      </c>
      <c r="G629" s="32">
        <v>2.0</v>
      </c>
      <c r="H629" s="6">
        <v>80.0</v>
      </c>
      <c r="I629" s="32">
        <v>1.0</v>
      </c>
      <c r="M629" s="16">
        <f t="shared" si="5"/>
        <v>160</v>
      </c>
      <c r="N629" s="21">
        <f t="shared" si="6"/>
        <v>38</v>
      </c>
    </row>
    <row r="630" ht="13.5" customHeight="1">
      <c r="A630" s="25"/>
      <c r="B630" s="2"/>
      <c r="C630" s="3" t="s">
        <v>765</v>
      </c>
      <c r="D630" s="6">
        <v>1.0</v>
      </c>
      <c r="E630" s="6">
        <v>1.0</v>
      </c>
      <c r="F630" s="6">
        <v>1.0</v>
      </c>
      <c r="G630" s="32">
        <v>2.0</v>
      </c>
      <c r="H630" s="6">
        <v>80.0</v>
      </c>
      <c r="I630" s="32">
        <v>1.0</v>
      </c>
      <c r="M630" s="16">
        <f t="shared" si="5"/>
        <v>160</v>
      </c>
      <c r="N630" s="21">
        <f t="shared" si="6"/>
        <v>38</v>
      </c>
    </row>
    <row r="631" ht="13.5" customHeight="1">
      <c r="A631" s="25"/>
      <c r="B631" s="2"/>
      <c r="C631" s="3" t="s">
        <v>766</v>
      </c>
      <c r="D631" s="6">
        <v>1.0</v>
      </c>
      <c r="E631" s="6">
        <v>1.0</v>
      </c>
      <c r="F631" s="6">
        <v>1.0</v>
      </c>
      <c r="G631" s="32">
        <v>2.0</v>
      </c>
      <c r="H631" s="6">
        <v>80.0</v>
      </c>
      <c r="I631" s="32">
        <v>1.0</v>
      </c>
      <c r="M631" s="16">
        <f t="shared" si="5"/>
        <v>160</v>
      </c>
      <c r="N631" s="21">
        <f t="shared" si="6"/>
        <v>38</v>
      </c>
    </row>
    <row r="632" ht="13.5" customHeight="1">
      <c r="A632" s="25"/>
      <c r="B632" s="2"/>
      <c r="C632" s="3" t="s">
        <v>767</v>
      </c>
      <c r="D632" s="6">
        <v>1.0</v>
      </c>
      <c r="E632" s="6">
        <v>1.0</v>
      </c>
      <c r="F632" s="6">
        <v>1.0</v>
      </c>
      <c r="G632" s="32">
        <v>2.0</v>
      </c>
      <c r="H632" s="6">
        <v>80.0</v>
      </c>
      <c r="I632" s="32">
        <v>3.0</v>
      </c>
      <c r="M632" s="16">
        <f t="shared" si="5"/>
        <v>480</v>
      </c>
      <c r="N632" s="21">
        <f t="shared" si="6"/>
        <v>17</v>
      </c>
    </row>
    <row r="633" ht="13.5" customHeight="1">
      <c r="A633" s="25"/>
      <c r="B633" s="2"/>
      <c r="C633" s="3" t="s">
        <v>768</v>
      </c>
      <c r="D633" s="6">
        <v>1.0</v>
      </c>
      <c r="E633" s="6">
        <v>1.0</v>
      </c>
      <c r="F633" s="6">
        <v>1.0</v>
      </c>
      <c r="G633" s="32">
        <v>2.0</v>
      </c>
      <c r="H633" s="6">
        <v>80.0</v>
      </c>
      <c r="I633" s="32">
        <v>3.0</v>
      </c>
      <c r="M633" s="16">
        <f t="shared" si="5"/>
        <v>480</v>
      </c>
      <c r="N633" s="21">
        <f t="shared" si="6"/>
        <v>17</v>
      </c>
    </row>
    <row r="634" ht="13.5" customHeight="1">
      <c r="A634" s="25"/>
      <c r="B634" s="2"/>
      <c r="C634" s="3" t="s">
        <v>770</v>
      </c>
      <c r="D634" s="6">
        <v>1.0</v>
      </c>
      <c r="E634" s="6">
        <v>1.0</v>
      </c>
      <c r="F634" s="6">
        <v>1.0</v>
      </c>
      <c r="G634" s="32">
        <v>2.0</v>
      </c>
      <c r="H634" s="6">
        <v>80.0</v>
      </c>
      <c r="I634" s="32">
        <v>3.0</v>
      </c>
      <c r="M634" s="16">
        <f t="shared" si="5"/>
        <v>480</v>
      </c>
      <c r="N634" s="21">
        <f t="shared" si="6"/>
        <v>17</v>
      </c>
    </row>
    <row r="635" ht="13.5" customHeight="1">
      <c r="A635" s="25"/>
      <c r="B635" s="2"/>
      <c r="C635" s="3" t="s">
        <v>771</v>
      </c>
      <c r="D635" s="6">
        <v>1.0</v>
      </c>
      <c r="E635" s="6">
        <v>1.0</v>
      </c>
      <c r="F635" s="6">
        <v>1.0</v>
      </c>
      <c r="G635" s="32">
        <v>2.0</v>
      </c>
      <c r="H635" s="6">
        <v>80.0</v>
      </c>
      <c r="I635" s="32">
        <v>3.0</v>
      </c>
      <c r="M635" s="16">
        <f t="shared" si="5"/>
        <v>480</v>
      </c>
      <c r="N635" s="21">
        <f t="shared" si="6"/>
        <v>17</v>
      </c>
    </row>
    <row r="636" ht="13.5" customHeight="1">
      <c r="A636" s="25"/>
      <c r="B636" s="2"/>
      <c r="C636" s="3" t="s">
        <v>772</v>
      </c>
      <c r="D636" s="6">
        <v>1.0</v>
      </c>
      <c r="E636" s="6">
        <v>1.0</v>
      </c>
      <c r="F636" s="6">
        <v>1.0</v>
      </c>
      <c r="G636" s="32">
        <v>2.0</v>
      </c>
      <c r="H636" s="6">
        <v>80.0</v>
      </c>
      <c r="I636" s="32">
        <v>3.0</v>
      </c>
      <c r="M636" s="16">
        <f t="shared" si="5"/>
        <v>480</v>
      </c>
      <c r="N636" s="21">
        <f t="shared" si="6"/>
        <v>17</v>
      </c>
    </row>
    <row r="637" ht="13.5" customHeight="1">
      <c r="A637" s="25"/>
      <c r="B637" s="2"/>
      <c r="C637" s="3" t="s">
        <v>774</v>
      </c>
      <c r="D637" s="6">
        <v>1.0</v>
      </c>
      <c r="E637" s="6">
        <v>1.0</v>
      </c>
      <c r="F637" s="6">
        <v>1.0</v>
      </c>
      <c r="G637" s="32">
        <v>2.0</v>
      </c>
      <c r="H637" s="6">
        <v>80.0</v>
      </c>
      <c r="I637" s="32">
        <v>3.0</v>
      </c>
      <c r="M637" s="16">
        <f t="shared" si="5"/>
        <v>480</v>
      </c>
      <c r="N637" s="21">
        <f t="shared" si="6"/>
        <v>17</v>
      </c>
    </row>
    <row r="638" ht="13.5" customHeight="1">
      <c r="A638" s="25"/>
      <c r="B638" s="2"/>
      <c r="C638" s="3" t="s">
        <v>775</v>
      </c>
      <c r="D638" s="6">
        <v>1.0</v>
      </c>
      <c r="E638" s="6">
        <v>1.0</v>
      </c>
      <c r="F638" s="6">
        <v>1.0</v>
      </c>
      <c r="G638" s="32">
        <v>2.0</v>
      </c>
      <c r="H638" s="6">
        <v>80.0</v>
      </c>
      <c r="I638" s="32">
        <v>3.0</v>
      </c>
      <c r="M638" s="16">
        <f t="shared" si="5"/>
        <v>480</v>
      </c>
      <c r="N638" s="21">
        <f t="shared" si="6"/>
        <v>17</v>
      </c>
    </row>
    <row r="639" ht="13.5" customHeight="1">
      <c r="A639" s="2"/>
      <c r="B639" s="19" t="s">
        <v>2457</v>
      </c>
      <c r="C639" s="3" t="s">
        <v>2459</v>
      </c>
      <c r="D639" s="6">
        <v>1.0</v>
      </c>
      <c r="E639" s="6">
        <v>1.0</v>
      </c>
      <c r="F639" s="6">
        <v>1.0</v>
      </c>
      <c r="G639" s="6">
        <v>1.0</v>
      </c>
      <c r="H639" s="21">
        <v>80.0</v>
      </c>
      <c r="I639" s="21">
        <v>1.0</v>
      </c>
      <c r="J639" s="21"/>
      <c r="K639" s="21"/>
      <c r="L639" s="21"/>
      <c r="M639" s="16">
        <f t="shared" si="5"/>
        <v>80</v>
      </c>
      <c r="N639" s="21">
        <f t="shared" si="6"/>
        <v>56</v>
      </c>
    </row>
    <row r="640" ht="13.5" customHeight="1">
      <c r="A640" s="39" t="s">
        <v>1693</v>
      </c>
      <c r="B640" s="19" t="s">
        <v>2467</v>
      </c>
      <c r="C640" s="3" t="s">
        <v>2469</v>
      </c>
      <c r="D640" s="6">
        <v>1.0</v>
      </c>
      <c r="E640" s="6">
        <v>0.0</v>
      </c>
      <c r="F640" s="6">
        <v>1.0</v>
      </c>
      <c r="G640">
        <v>1.0</v>
      </c>
      <c r="H640" s="21">
        <v>80.0</v>
      </c>
      <c r="I640" s="21">
        <v>1.0</v>
      </c>
      <c r="J640" s="21"/>
      <c r="K640" s="21"/>
      <c r="L640" s="21"/>
      <c r="M640" s="16">
        <f t="shared" si="5"/>
        <v>80</v>
      </c>
      <c r="N640" s="21">
        <f t="shared" si="6"/>
        <v>56</v>
      </c>
    </row>
    <row r="641" ht="13.5" customHeight="1">
      <c r="A641" s="39" t="s">
        <v>1693</v>
      </c>
      <c r="B641" s="19" t="s">
        <v>2467</v>
      </c>
      <c r="C641" s="3" t="s">
        <v>2479</v>
      </c>
      <c r="D641" s="6">
        <v>1.0</v>
      </c>
      <c r="E641" s="6">
        <v>0.0</v>
      </c>
      <c r="F641" s="6">
        <v>1.0</v>
      </c>
      <c r="G641">
        <v>1.0</v>
      </c>
      <c r="H641" s="21">
        <v>80.0</v>
      </c>
      <c r="I641" s="21">
        <v>1.0</v>
      </c>
      <c r="J641" s="21"/>
      <c r="K641" s="21"/>
      <c r="L641" s="21"/>
      <c r="M641" s="16">
        <f t="shared" si="5"/>
        <v>80</v>
      </c>
      <c r="N641" s="21">
        <f t="shared" si="6"/>
        <v>56</v>
      </c>
    </row>
    <row r="642" ht="13.5" customHeight="1">
      <c r="A642" s="39" t="s">
        <v>1693</v>
      </c>
      <c r="B642" s="19" t="s">
        <v>2467</v>
      </c>
      <c r="C642" s="3" t="s">
        <v>2486</v>
      </c>
      <c r="D642" s="6">
        <v>1.0</v>
      </c>
      <c r="E642" s="6">
        <v>0.0</v>
      </c>
      <c r="F642" s="6">
        <v>1.0</v>
      </c>
      <c r="G642">
        <v>1.0</v>
      </c>
      <c r="H642" s="21">
        <v>80.0</v>
      </c>
      <c r="I642" s="21">
        <v>1.0</v>
      </c>
      <c r="J642" s="21"/>
      <c r="K642" s="21"/>
      <c r="L642" s="21"/>
      <c r="M642" s="16">
        <f t="shared" si="5"/>
        <v>80</v>
      </c>
      <c r="N642" s="21">
        <f t="shared" si="6"/>
        <v>56</v>
      </c>
    </row>
    <row r="643" ht="13.5" customHeight="1">
      <c r="A643" s="23" t="s">
        <v>2496</v>
      </c>
      <c r="B643" s="2"/>
      <c r="M643" s="16" t="str">
        <f t="shared" si="5"/>
        <v/>
      </c>
      <c r="N643" s="21" t="str">
        <f t="shared" si="6"/>
        <v/>
      </c>
    </row>
    <row r="644" ht="13.5" customHeight="1">
      <c r="A644" s="25"/>
      <c r="B644" s="2"/>
      <c r="C644" s="3" t="s">
        <v>777</v>
      </c>
      <c r="D644" s="6">
        <v>1.0</v>
      </c>
      <c r="E644" s="6">
        <v>1.0</v>
      </c>
      <c r="F644" s="6">
        <v>1.0</v>
      </c>
      <c r="G644" s="32">
        <v>2.0</v>
      </c>
      <c r="H644" s="6">
        <v>300.0</v>
      </c>
      <c r="I644" s="32">
        <v>1.0</v>
      </c>
      <c r="M644" s="16">
        <f t="shared" si="5"/>
        <v>600</v>
      </c>
      <c r="N644" s="21">
        <f t="shared" si="6"/>
        <v>14</v>
      </c>
    </row>
    <row r="645" ht="13.5" customHeight="1">
      <c r="A645" s="25"/>
      <c r="B645" s="2"/>
      <c r="C645" s="3" t="s">
        <v>778</v>
      </c>
      <c r="D645" s="6">
        <v>1.0</v>
      </c>
      <c r="E645" s="6">
        <v>1.0</v>
      </c>
      <c r="F645" s="6">
        <v>1.0</v>
      </c>
      <c r="G645" s="32">
        <v>2.0</v>
      </c>
      <c r="H645" s="6">
        <v>200.0</v>
      </c>
      <c r="I645" s="32">
        <v>1.0</v>
      </c>
      <c r="M645" s="16">
        <f t="shared" si="5"/>
        <v>400</v>
      </c>
      <c r="N645" s="21">
        <f t="shared" si="6"/>
        <v>20</v>
      </c>
    </row>
    <row r="646" ht="13.5" customHeight="1">
      <c r="A646" s="25"/>
      <c r="B646" s="2"/>
      <c r="C646" s="3" t="s">
        <v>780</v>
      </c>
      <c r="D646" s="6">
        <v>0.0</v>
      </c>
      <c r="E646" s="6">
        <v>0.0</v>
      </c>
      <c r="F646" s="6">
        <v>0.0</v>
      </c>
      <c r="G646" s="32">
        <v>1.0</v>
      </c>
      <c r="H646" s="6">
        <v>50.0</v>
      </c>
      <c r="I646" s="32">
        <v>1.0</v>
      </c>
      <c r="M646" s="16" t="str">
        <f t="shared" si="5"/>
        <v/>
      </c>
      <c r="N646" s="21" t="str">
        <f t="shared" si="6"/>
        <v/>
      </c>
    </row>
    <row r="647" ht="13.5" customHeight="1">
      <c r="A647" s="25"/>
      <c r="B647" s="2"/>
      <c r="C647" s="3" t="s">
        <v>781</v>
      </c>
      <c r="D647" s="6">
        <v>0.0</v>
      </c>
      <c r="E647" s="6">
        <v>0.0</v>
      </c>
      <c r="F647" s="6">
        <v>0.0</v>
      </c>
      <c r="G647" s="32">
        <v>1.0</v>
      </c>
      <c r="H647" s="6">
        <v>50.0</v>
      </c>
      <c r="I647" s="32">
        <v>1.0</v>
      </c>
      <c r="M647" s="16" t="str">
        <f t="shared" si="5"/>
        <v/>
      </c>
      <c r="N647" s="21" t="str">
        <f t="shared" si="6"/>
        <v/>
      </c>
    </row>
    <row r="648" ht="13.5" customHeight="1">
      <c r="A648" s="25"/>
      <c r="B648" s="2"/>
      <c r="C648" s="3" t="s">
        <v>782</v>
      </c>
      <c r="D648" s="6">
        <v>0.0</v>
      </c>
      <c r="E648" s="6">
        <v>0.0</v>
      </c>
      <c r="F648" s="6">
        <v>0.0</v>
      </c>
      <c r="G648" s="32">
        <v>1.0</v>
      </c>
      <c r="H648" s="6">
        <v>50.0</v>
      </c>
      <c r="I648" s="32">
        <v>1.0</v>
      </c>
      <c r="M648" s="16" t="str">
        <f t="shared" si="5"/>
        <v/>
      </c>
      <c r="N648" s="21" t="str">
        <f t="shared" si="6"/>
        <v/>
      </c>
    </row>
    <row r="649" ht="13.5" customHeight="1">
      <c r="A649" s="25"/>
      <c r="B649" s="2"/>
      <c r="C649" s="3" t="s">
        <v>784</v>
      </c>
      <c r="D649" s="6">
        <v>1.0</v>
      </c>
      <c r="E649" s="6">
        <v>1.0</v>
      </c>
      <c r="F649" s="6">
        <v>1.0</v>
      </c>
      <c r="G649" s="32">
        <v>2.0</v>
      </c>
      <c r="H649" s="6">
        <v>400.0</v>
      </c>
      <c r="I649" s="32">
        <v>1.0</v>
      </c>
      <c r="M649" s="16">
        <f t="shared" si="5"/>
        <v>800</v>
      </c>
      <c r="N649" s="21">
        <f t="shared" si="6"/>
        <v>11</v>
      </c>
    </row>
    <row r="650" ht="13.5" customHeight="1">
      <c r="A650" s="25"/>
      <c r="B650" s="2"/>
      <c r="C650" s="3" t="s">
        <v>785</v>
      </c>
      <c r="D650" s="6">
        <v>1.0</v>
      </c>
      <c r="E650" s="6">
        <v>1.0</v>
      </c>
      <c r="F650" s="6">
        <v>1.0</v>
      </c>
      <c r="G650" s="32">
        <v>2.0</v>
      </c>
      <c r="H650" s="6">
        <v>400.0</v>
      </c>
      <c r="I650" s="32">
        <v>3.0</v>
      </c>
      <c r="M650" s="16">
        <f t="shared" si="5"/>
        <v>2400</v>
      </c>
      <c r="N650" s="21">
        <f t="shared" si="6"/>
        <v>4</v>
      </c>
    </row>
    <row r="651" ht="13.5" customHeight="1">
      <c r="A651" s="25"/>
      <c r="B651" s="2"/>
      <c r="C651" s="3" t="s">
        <v>788</v>
      </c>
      <c r="D651" s="6">
        <v>1.0</v>
      </c>
      <c r="E651" s="6">
        <v>1.0</v>
      </c>
      <c r="F651" s="6">
        <v>1.0</v>
      </c>
      <c r="G651" s="32">
        <v>2.0</v>
      </c>
      <c r="H651" s="6">
        <v>1000.0</v>
      </c>
      <c r="I651" s="32">
        <v>1.0</v>
      </c>
      <c r="M651" s="16">
        <f t="shared" si="5"/>
        <v>2000</v>
      </c>
      <c r="N651" s="21">
        <f t="shared" si="6"/>
        <v>5</v>
      </c>
    </row>
    <row r="652" ht="13.5" customHeight="1">
      <c r="A652" s="25"/>
      <c r="B652" s="2"/>
      <c r="C652" s="3" t="s">
        <v>789</v>
      </c>
      <c r="D652" s="6">
        <v>1.0</v>
      </c>
      <c r="E652" s="6">
        <v>1.0</v>
      </c>
      <c r="F652" s="6">
        <v>1.0</v>
      </c>
      <c r="G652" s="32">
        <v>2.0</v>
      </c>
      <c r="H652" s="6">
        <v>1000.0</v>
      </c>
      <c r="I652" s="32">
        <v>1.0</v>
      </c>
      <c r="M652" s="16">
        <f t="shared" si="5"/>
        <v>2000</v>
      </c>
      <c r="N652" s="21">
        <f t="shared" si="6"/>
        <v>5</v>
      </c>
    </row>
    <row r="653" ht="13.5" customHeight="1">
      <c r="A653" s="25"/>
      <c r="B653" s="2"/>
      <c r="C653" s="3" t="s">
        <v>791</v>
      </c>
      <c r="D653" s="6">
        <v>1.0</v>
      </c>
      <c r="E653" s="6">
        <v>1.0</v>
      </c>
      <c r="F653" s="6">
        <v>1.0</v>
      </c>
      <c r="G653" s="32">
        <v>2.0</v>
      </c>
      <c r="H653" s="6">
        <v>1000.0</v>
      </c>
      <c r="I653" s="32">
        <v>1.0</v>
      </c>
      <c r="M653" s="16">
        <f t="shared" si="5"/>
        <v>2000</v>
      </c>
      <c r="N653" s="21">
        <f t="shared" si="6"/>
        <v>5</v>
      </c>
    </row>
    <row r="654" ht="13.5" customHeight="1">
      <c r="A654" s="25"/>
      <c r="B654" s="2"/>
      <c r="C654" s="3" t="s">
        <v>793</v>
      </c>
      <c r="D654" s="6">
        <v>1.0</v>
      </c>
      <c r="E654" s="6">
        <v>1.0</v>
      </c>
      <c r="F654" s="6">
        <v>1.0</v>
      </c>
      <c r="G654" s="32">
        <v>2.0</v>
      </c>
      <c r="H654" s="6">
        <v>1000.0</v>
      </c>
      <c r="I654" s="32">
        <v>1.0</v>
      </c>
      <c r="M654" s="16">
        <f t="shared" si="5"/>
        <v>2000</v>
      </c>
      <c r="N654" s="21">
        <f t="shared" si="6"/>
        <v>5</v>
      </c>
    </row>
    <row r="655" ht="13.5" customHeight="1">
      <c r="A655" s="25"/>
      <c r="B655" s="2"/>
      <c r="C655" s="3" t="s">
        <v>794</v>
      </c>
      <c r="D655" s="6">
        <v>1.0</v>
      </c>
      <c r="E655" s="6">
        <v>1.0</v>
      </c>
      <c r="F655" s="6">
        <v>1.0</v>
      </c>
      <c r="G655" s="32">
        <v>2.0</v>
      </c>
      <c r="H655" s="6">
        <v>2000.0</v>
      </c>
      <c r="I655" s="32">
        <v>1.0</v>
      </c>
      <c r="M655" s="16">
        <f t="shared" si="5"/>
        <v>4000</v>
      </c>
      <c r="N655" s="21">
        <f t="shared" si="6"/>
        <v>2</v>
      </c>
    </row>
    <row r="656" ht="13.5" customHeight="1">
      <c r="A656" s="25"/>
      <c r="B656" s="2"/>
      <c r="C656" s="3" t="s">
        <v>795</v>
      </c>
      <c r="D656" s="6">
        <v>1.0</v>
      </c>
      <c r="E656" s="6">
        <v>1.0</v>
      </c>
      <c r="F656" s="6">
        <v>1.0</v>
      </c>
      <c r="G656" s="32">
        <v>2.0</v>
      </c>
      <c r="H656" s="6">
        <v>4000.0</v>
      </c>
      <c r="I656" s="32">
        <v>1.0</v>
      </c>
      <c r="M656" s="16">
        <f t="shared" si="5"/>
        <v>8000</v>
      </c>
      <c r="N656" s="21">
        <f t="shared" si="6"/>
        <v>1</v>
      </c>
    </row>
    <row r="657" ht="13.5" customHeight="1">
      <c r="A657" s="25"/>
      <c r="B657" s="2"/>
      <c r="C657" s="3" t="s">
        <v>796</v>
      </c>
      <c r="D657" s="6">
        <v>1.0</v>
      </c>
      <c r="E657" s="6">
        <v>1.0</v>
      </c>
      <c r="F657" s="6">
        <v>1.0</v>
      </c>
      <c r="G657" s="32">
        <v>2.0</v>
      </c>
      <c r="H657" s="6">
        <v>3000.0</v>
      </c>
      <c r="I657" s="32">
        <v>1.0</v>
      </c>
      <c r="M657" s="16">
        <f t="shared" si="5"/>
        <v>6000</v>
      </c>
      <c r="N657" s="21">
        <f t="shared" si="6"/>
        <v>2</v>
      </c>
    </row>
    <row r="658" ht="13.5" customHeight="1">
      <c r="A658" s="25"/>
      <c r="B658" s="2"/>
      <c r="C658" s="3" t="s">
        <v>797</v>
      </c>
      <c r="D658" s="6">
        <v>1.0</v>
      </c>
      <c r="E658" s="6">
        <v>1.0</v>
      </c>
      <c r="F658" s="6">
        <v>1.0</v>
      </c>
      <c r="G658" s="32">
        <v>2.0</v>
      </c>
      <c r="H658" s="6">
        <v>4000.0</v>
      </c>
      <c r="I658" s="32">
        <v>1.0</v>
      </c>
      <c r="M658" s="16">
        <f t="shared" si="5"/>
        <v>8000</v>
      </c>
      <c r="N658" s="21">
        <f t="shared" si="6"/>
        <v>1</v>
      </c>
    </row>
    <row r="659" ht="13.5" customHeight="1">
      <c r="A659" s="25"/>
      <c r="B659" s="2"/>
      <c r="C659" s="3" t="s">
        <v>799</v>
      </c>
      <c r="D659" s="6">
        <v>1.0</v>
      </c>
      <c r="E659" s="6">
        <v>1.0</v>
      </c>
      <c r="F659" s="6">
        <v>1.0</v>
      </c>
      <c r="G659" s="32">
        <v>2.0</v>
      </c>
      <c r="H659" s="6">
        <v>3000.0</v>
      </c>
      <c r="I659" s="32">
        <v>1.0</v>
      </c>
      <c r="M659" s="16">
        <f t="shared" si="5"/>
        <v>6000</v>
      </c>
      <c r="N659" s="21">
        <f t="shared" si="6"/>
        <v>2</v>
      </c>
    </row>
    <row r="660" ht="13.5" customHeight="1">
      <c r="A660" s="25"/>
      <c r="B660" s="2"/>
      <c r="C660" s="3" t="s">
        <v>800</v>
      </c>
      <c r="D660" s="6">
        <v>1.0</v>
      </c>
      <c r="E660" s="6">
        <v>1.0</v>
      </c>
      <c r="F660" s="6">
        <v>1.0</v>
      </c>
      <c r="G660" s="32">
        <v>2.0</v>
      </c>
      <c r="H660" s="6">
        <v>5000.0</v>
      </c>
      <c r="I660" s="32">
        <v>1.0</v>
      </c>
      <c r="M660" s="16">
        <f t="shared" si="5"/>
        <v>10000</v>
      </c>
      <c r="N660" s="21">
        <f t="shared" si="6"/>
        <v>1</v>
      </c>
    </row>
    <row r="661" ht="13.5" customHeight="1">
      <c r="A661" s="25"/>
      <c r="B661" s="2"/>
      <c r="C661" s="3" t="s">
        <v>801</v>
      </c>
      <c r="D661" s="6">
        <v>1.0</v>
      </c>
      <c r="E661" s="6">
        <v>1.0</v>
      </c>
      <c r="F661" s="6">
        <v>1.0</v>
      </c>
      <c r="G661" s="32">
        <v>2.0</v>
      </c>
      <c r="H661" s="6">
        <v>2000.0</v>
      </c>
      <c r="I661" s="32">
        <v>1.0</v>
      </c>
      <c r="M661" s="16">
        <f t="shared" si="5"/>
        <v>4000</v>
      </c>
      <c r="N661" s="21">
        <f t="shared" si="6"/>
        <v>2</v>
      </c>
    </row>
    <row r="662" ht="13.5" customHeight="1">
      <c r="A662" s="2"/>
      <c r="B662" s="19" t="s">
        <v>2613</v>
      </c>
      <c r="C662" s="3" t="s">
        <v>2615</v>
      </c>
      <c r="D662" s="6">
        <v>1.0</v>
      </c>
      <c r="E662" s="6">
        <v>1.0</v>
      </c>
      <c r="F662" s="6">
        <v>1.0</v>
      </c>
      <c r="G662">
        <v>1.0</v>
      </c>
      <c r="H662" s="21">
        <v>200.0</v>
      </c>
      <c r="I662" s="21">
        <v>1.0</v>
      </c>
      <c r="J662" s="21"/>
      <c r="K662" s="21"/>
      <c r="L662" s="21"/>
      <c r="M662" s="16">
        <f t="shared" si="5"/>
        <v>200</v>
      </c>
      <c r="N662" s="21">
        <f t="shared" si="6"/>
        <v>33</v>
      </c>
    </row>
    <row r="663" ht="13.5" customHeight="1">
      <c r="A663" s="2"/>
      <c r="B663" s="19" t="s">
        <v>2623</v>
      </c>
      <c r="C663" s="3" t="s">
        <v>2624</v>
      </c>
      <c r="D663" s="6">
        <v>1.0</v>
      </c>
      <c r="E663" s="6">
        <v>1.0</v>
      </c>
      <c r="F663" s="6">
        <v>1.0</v>
      </c>
      <c r="G663" s="6">
        <v>2.0</v>
      </c>
      <c r="H663" s="21">
        <v>400.0</v>
      </c>
      <c r="I663" s="21">
        <v>1.0</v>
      </c>
      <c r="J663" s="21"/>
      <c r="K663" s="21"/>
      <c r="L663" s="21"/>
      <c r="M663" s="16">
        <f t="shared" si="5"/>
        <v>800</v>
      </c>
      <c r="N663" s="21">
        <f t="shared" si="6"/>
        <v>11</v>
      </c>
    </row>
    <row r="664" ht="13.5" customHeight="1">
      <c r="A664" s="2"/>
      <c r="B664" s="19" t="s">
        <v>2629</v>
      </c>
      <c r="C664" s="3" t="s">
        <v>2631</v>
      </c>
      <c r="D664" s="6">
        <v>1.0</v>
      </c>
      <c r="E664" s="6">
        <v>1.0</v>
      </c>
      <c r="F664" s="6">
        <v>1.0</v>
      </c>
      <c r="G664" s="6">
        <v>2.0</v>
      </c>
      <c r="H664" s="21">
        <v>400.0</v>
      </c>
      <c r="I664" s="21">
        <v>1.0</v>
      </c>
      <c r="J664" s="21"/>
      <c r="K664" s="21"/>
      <c r="L664" s="21"/>
      <c r="M664" s="16">
        <f t="shared" si="5"/>
        <v>800</v>
      </c>
      <c r="N664" s="21">
        <f t="shared" si="6"/>
        <v>11</v>
      </c>
    </row>
    <row r="665" ht="13.5" customHeight="1">
      <c r="A665" s="2"/>
      <c r="B665" s="19" t="s">
        <v>2637</v>
      </c>
      <c r="C665" s="3" t="s">
        <v>2638</v>
      </c>
      <c r="D665" s="6">
        <v>1.0</v>
      </c>
      <c r="E665" s="6">
        <v>1.0</v>
      </c>
      <c r="F665" s="6">
        <v>1.0</v>
      </c>
      <c r="G665" s="6">
        <v>3.0</v>
      </c>
      <c r="H665" s="21">
        <v>400.0</v>
      </c>
      <c r="I665" s="21">
        <v>1.0</v>
      </c>
      <c r="J665" s="21"/>
      <c r="K665" s="21"/>
      <c r="L665" s="21"/>
      <c r="M665" s="16">
        <f t="shared" si="5"/>
        <v>1200</v>
      </c>
      <c r="N665" s="21">
        <f t="shared" si="6"/>
        <v>8</v>
      </c>
    </row>
    <row r="666" ht="13.5" customHeight="1">
      <c r="A666" s="2"/>
      <c r="B666" s="19" t="s">
        <v>2644</v>
      </c>
      <c r="C666" s="3" t="s">
        <v>2645</v>
      </c>
      <c r="D666" s="6">
        <v>1.0</v>
      </c>
      <c r="E666" s="6">
        <v>1.0</v>
      </c>
      <c r="F666" s="6">
        <v>1.0</v>
      </c>
      <c r="G666">
        <v>1.0</v>
      </c>
      <c r="H666" s="21">
        <v>200.0</v>
      </c>
      <c r="I666" s="21">
        <v>1.0</v>
      </c>
      <c r="J666" s="21"/>
      <c r="K666" s="21"/>
      <c r="L666" s="21"/>
      <c r="M666" s="16">
        <f t="shared" si="5"/>
        <v>200</v>
      </c>
      <c r="N666" s="21">
        <f t="shared" si="6"/>
        <v>33</v>
      </c>
    </row>
    <row r="667" ht="13.5" customHeight="1">
      <c r="A667" s="2"/>
      <c r="B667" s="19" t="s">
        <v>2650</v>
      </c>
      <c r="C667" s="3" t="s">
        <v>2652</v>
      </c>
      <c r="D667" s="6">
        <v>1.0</v>
      </c>
      <c r="E667" s="6">
        <v>1.0</v>
      </c>
      <c r="F667" s="6">
        <v>1.0</v>
      </c>
      <c r="G667" s="6">
        <v>2.0</v>
      </c>
      <c r="H667" s="21">
        <v>400.0</v>
      </c>
      <c r="I667" s="21">
        <v>1.0</v>
      </c>
      <c r="J667" s="21"/>
      <c r="K667" s="21"/>
      <c r="L667" s="21"/>
      <c r="M667" s="16">
        <f t="shared" si="5"/>
        <v>800</v>
      </c>
      <c r="N667" s="21">
        <f t="shared" si="6"/>
        <v>11</v>
      </c>
    </row>
    <row r="668" ht="13.5" customHeight="1">
      <c r="A668" s="39" t="s">
        <v>1693</v>
      </c>
      <c r="B668" s="19" t="s">
        <v>2657</v>
      </c>
      <c r="C668" s="3" t="s">
        <v>2659</v>
      </c>
      <c r="D668" s="6">
        <v>1.0</v>
      </c>
      <c r="E668" s="6">
        <v>0.0</v>
      </c>
      <c r="F668" s="6">
        <v>1.0</v>
      </c>
      <c r="G668" s="6">
        <v>3.0</v>
      </c>
      <c r="H668" s="21">
        <v>400.0</v>
      </c>
      <c r="I668" s="21">
        <v>1.0</v>
      </c>
      <c r="J668" s="21"/>
      <c r="K668" s="21"/>
      <c r="L668" s="21"/>
      <c r="M668" s="16">
        <f t="shared" si="5"/>
        <v>1200</v>
      </c>
      <c r="N668" s="21">
        <f t="shared" si="6"/>
        <v>8</v>
      </c>
    </row>
    <row r="669" ht="13.5" customHeight="1">
      <c r="A669" s="2"/>
      <c r="B669" s="19" t="s">
        <v>2664</v>
      </c>
      <c r="C669" s="3" t="s">
        <v>2665</v>
      </c>
      <c r="D669" s="6">
        <v>1.0</v>
      </c>
      <c r="E669" s="6">
        <v>1.0</v>
      </c>
      <c r="F669" s="6">
        <v>1.0</v>
      </c>
      <c r="G669">
        <v>1.0</v>
      </c>
      <c r="H669" s="21">
        <v>200.0</v>
      </c>
      <c r="I669" s="21">
        <v>1.0</v>
      </c>
      <c r="J669" s="21"/>
      <c r="K669" s="21"/>
      <c r="L669" s="21"/>
      <c r="M669" s="16">
        <f t="shared" si="5"/>
        <v>200</v>
      </c>
      <c r="N669" s="21">
        <f t="shared" si="6"/>
        <v>33</v>
      </c>
    </row>
    <row r="670" ht="13.5" customHeight="1">
      <c r="A670" s="23" t="s">
        <v>2673</v>
      </c>
      <c r="B670" s="19"/>
      <c r="C670" s="3"/>
      <c r="D670" s="6"/>
      <c r="E670" s="6"/>
      <c r="F670" s="6"/>
      <c r="H670" s="21"/>
      <c r="I670" s="21"/>
      <c r="J670" s="21"/>
      <c r="K670" s="21"/>
      <c r="L670" s="21"/>
      <c r="M670" s="16" t="str">
        <f t="shared" si="5"/>
        <v/>
      </c>
      <c r="N670" s="21" t="str">
        <f t="shared" si="6"/>
        <v/>
      </c>
    </row>
    <row r="671" ht="13.5" customHeight="1">
      <c r="A671" s="25"/>
      <c r="B671" s="19"/>
      <c r="C671" s="3" t="s">
        <v>896</v>
      </c>
      <c r="D671" s="6">
        <v>1.0</v>
      </c>
      <c r="E671" s="6">
        <v>1.0</v>
      </c>
      <c r="F671" s="6">
        <v>1.0</v>
      </c>
      <c r="G671" s="6">
        <v>1.0</v>
      </c>
      <c r="H671" s="21">
        <v>20.0</v>
      </c>
      <c r="I671" s="21">
        <v>1.0</v>
      </c>
      <c r="J671" s="21"/>
      <c r="K671" s="21"/>
      <c r="L671" s="21"/>
      <c r="M671" s="16">
        <f t="shared" si="5"/>
        <v>20</v>
      </c>
      <c r="N671" s="21">
        <f t="shared" si="6"/>
        <v>83</v>
      </c>
    </row>
    <row r="672" ht="13.5" customHeight="1">
      <c r="A672" s="25"/>
      <c r="B672" s="19"/>
      <c r="C672" s="3" t="s">
        <v>897</v>
      </c>
      <c r="D672" s="6">
        <v>1.0</v>
      </c>
      <c r="E672" s="6">
        <v>1.0</v>
      </c>
      <c r="F672" s="6">
        <v>1.0</v>
      </c>
      <c r="G672" s="6">
        <v>2.0</v>
      </c>
      <c r="H672" s="21">
        <v>150.0</v>
      </c>
      <c r="I672" s="21">
        <v>1.0</v>
      </c>
      <c r="J672" s="21"/>
      <c r="K672" s="21"/>
      <c r="L672" s="21"/>
      <c r="M672" s="16">
        <f t="shared" si="5"/>
        <v>300</v>
      </c>
      <c r="N672" s="21">
        <f t="shared" si="6"/>
        <v>25</v>
      </c>
    </row>
    <row r="673" ht="13.5" customHeight="1">
      <c r="A673" s="25"/>
      <c r="B673" s="19"/>
      <c r="C673" s="3" t="s">
        <v>898</v>
      </c>
      <c r="D673" s="6">
        <v>1.0</v>
      </c>
      <c r="E673" s="6">
        <v>1.0</v>
      </c>
      <c r="F673" s="6">
        <v>1.0</v>
      </c>
      <c r="G673" s="6">
        <v>1.0</v>
      </c>
      <c r="H673" s="21">
        <v>40.0</v>
      </c>
      <c r="I673" s="21">
        <v>1.0</v>
      </c>
      <c r="J673" s="21"/>
      <c r="K673" s="21"/>
      <c r="L673" s="21"/>
      <c r="M673" s="16">
        <f t="shared" si="5"/>
        <v>40</v>
      </c>
      <c r="N673" s="21">
        <f t="shared" si="6"/>
        <v>71</v>
      </c>
    </row>
    <row r="674" ht="13.5" customHeight="1">
      <c r="A674" s="25"/>
      <c r="B674" s="19"/>
      <c r="C674" s="3" t="s">
        <v>900</v>
      </c>
      <c r="D674" s="6">
        <v>1.0</v>
      </c>
      <c r="E674" s="6">
        <v>1.0</v>
      </c>
      <c r="F674" s="6">
        <v>1.0</v>
      </c>
      <c r="G674" s="6">
        <v>1.0</v>
      </c>
      <c r="H674" s="21">
        <v>40.0</v>
      </c>
      <c r="I674" s="21">
        <v>1.0</v>
      </c>
      <c r="J674" s="21"/>
      <c r="K674" s="21"/>
      <c r="L674" s="21"/>
      <c r="M674" s="16">
        <f t="shared" si="5"/>
        <v>40</v>
      </c>
      <c r="N674" s="21">
        <f t="shared" si="6"/>
        <v>71</v>
      </c>
    </row>
    <row r="675" ht="13.5" customHeight="1">
      <c r="A675" s="25"/>
      <c r="B675" s="19"/>
      <c r="C675" s="3" t="s">
        <v>902</v>
      </c>
      <c r="D675" s="6">
        <v>1.0</v>
      </c>
      <c r="E675" s="6">
        <v>1.0</v>
      </c>
      <c r="F675" s="6">
        <v>1.0</v>
      </c>
      <c r="G675" s="6">
        <v>2.0</v>
      </c>
      <c r="H675" s="21">
        <v>200.0</v>
      </c>
      <c r="I675" s="21">
        <v>1.0</v>
      </c>
      <c r="J675" s="21"/>
      <c r="K675" s="21"/>
      <c r="L675" s="21"/>
      <c r="M675" s="16">
        <f t="shared" si="5"/>
        <v>400</v>
      </c>
      <c r="N675" s="21">
        <f t="shared" si="6"/>
        <v>20</v>
      </c>
    </row>
    <row r="676" ht="13.5" customHeight="1">
      <c r="A676" s="25"/>
      <c r="B676" s="19"/>
      <c r="C676" s="3" t="s">
        <v>903</v>
      </c>
      <c r="D676" s="6">
        <v>1.0</v>
      </c>
      <c r="E676" s="6">
        <v>1.0</v>
      </c>
      <c r="F676" s="6">
        <v>1.0</v>
      </c>
      <c r="G676" s="6">
        <v>1.0</v>
      </c>
      <c r="H676" s="21">
        <v>20.0</v>
      </c>
      <c r="I676" s="21">
        <v>1.0</v>
      </c>
      <c r="J676" s="21"/>
      <c r="K676" s="21"/>
      <c r="L676" s="21"/>
      <c r="M676" s="16">
        <f t="shared" si="5"/>
        <v>20</v>
      </c>
      <c r="N676" s="21">
        <f t="shared" si="6"/>
        <v>83</v>
      </c>
    </row>
    <row r="677" ht="13.5" customHeight="1">
      <c r="A677" s="25"/>
      <c r="B677" s="19"/>
      <c r="C677" s="3" t="s">
        <v>904</v>
      </c>
      <c r="D677" s="6">
        <v>1.0</v>
      </c>
      <c r="E677" s="6">
        <v>1.0</v>
      </c>
      <c r="F677" s="6">
        <v>1.0</v>
      </c>
      <c r="G677" s="6">
        <v>1.0</v>
      </c>
      <c r="H677" s="21">
        <v>400.0</v>
      </c>
      <c r="I677" s="21">
        <v>1.0</v>
      </c>
      <c r="J677" s="21"/>
      <c r="K677" s="21"/>
      <c r="L677" s="21"/>
      <c r="M677" s="16">
        <f t="shared" si="5"/>
        <v>400</v>
      </c>
      <c r="N677" s="21">
        <f t="shared" si="6"/>
        <v>20</v>
      </c>
    </row>
    <row r="678" ht="13.5" customHeight="1">
      <c r="A678" s="25"/>
      <c r="B678" s="19"/>
      <c r="C678" s="3" t="s">
        <v>2707</v>
      </c>
      <c r="D678" s="6">
        <v>1.0</v>
      </c>
      <c r="E678" s="6">
        <v>1.0</v>
      </c>
      <c r="F678" s="6">
        <v>1.0</v>
      </c>
      <c r="G678" s="6">
        <v>4.0</v>
      </c>
      <c r="H678" s="21">
        <v>2500.0</v>
      </c>
      <c r="I678" s="21">
        <v>1.0</v>
      </c>
      <c r="J678" s="21"/>
      <c r="K678" s="21"/>
      <c r="L678" s="21"/>
      <c r="M678" s="16">
        <f t="shared" si="5"/>
        <v>10000</v>
      </c>
      <c r="N678" s="21">
        <f t="shared" si="6"/>
        <v>1</v>
      </c>
    </row>
    <row r="679" ht="13.5" customHeight="1">
      <c r="A679" s="25"/>
      <c r="B679" s="19"/>
      <c r="C679" s="3" t="s">
        <v>2711</v>
      </c>
      <c r="D679" s="6">
        <v>1.0</v>
      </c>
      <c r="E679" s="6">
        <v>1.0</v>
      </c>
      <c r="F679" s="6">
        <v>1.0</v>
      </c>
      <c r="G679" s="6">
        <v>3.0</v>
      </c>
      <c r="H679" s="21">
        <v>1666.66</v>
      </c>
      <c r="I679" s="21">
        <v>1.0</v>
      </c>
      <c r="J679" s="21"/>
      <c r="K679" s="21"/>
      <c r="L679" s="21"/>
      <c r="M679" s="16">
        <f t="shared" si="5"/>
        <v>4999.98</v>
      </c>
      <c r="N679" s="21">
        <f t="shared" si="6"/>
        <v>2</v>
      </c>
    </row>
    <row r="680" ht="13.5" customHeight="1">
      <c r="A680" s="25"/>
      <c r="B680" s="19"/>
      <c r="C680" s="3" t="s">
        <v>907</v>
      </c>
      <c r="D680" s="6">
        <v>1.0</v>
      </c>
      <c r="E680" s="6">
        <v>1.0</v>
      </c>
      <c r="F680" s="6">
        <v>1.0</v>
      </c>
      <c r="G680" s="6">
        <v>2.0</v>
      </c>
      <c r="H680" s="21">
        <v>125.0</v>
      </c>
      <c r="I680" s="21">
        <v>1.0</v>
      </c>
      <c r="J680" s="21"/>
      <c r="K680" s="21"/>
      <c r="L680" s="21"/>
      <c r="M680" s="16">
        <f t="shared" si="5"/>
        <v>250</v>
      </c>
      <c r="N680" s="21">
        <f t="shared" si="6"/>
        <v>29</v>
      </c>
    </row>
    <row r="681" ht="13.5" customHeight="1">
      <c r="A681" s="25"/>
      <c r="B681" s="19"/>
      <c r="C681" s="3" t="s">
        <v>908</v>
      </c>
      <c r="D681" s="6">
        <v>1.0</v>
      </c>
      <c r="E681" s="6">
        <v>1.0</v>
      </c>
      <c r="F681" s="6">
        <v>1.0</v>
      </c>
      <c r="G681" s="6">
        <v>2.0</v>
      </c>
      <c r="H681" s="21">
        <v>200.0</v>
      </c>
      <c r="I681" s="21">
        <v>1.0</v>
      </c>
      <c r="J681" s="21"/>
      <c r="K681" s="21"/>
      <c r="L681" s="21"/>
      <c r="M681" s="16">
        <f t="shared" si="5"/>
        <v>400</v>
      </c>
      <c r="N681" s="21">
        <f t="shared" si="6"/>
        <v>20</v>
      </c>
    </row>
    <row r="682" ht="13.5" customHeight="1">
      <c r="A682" s="23" t="s">
        <v>2726</v>
      </c>
      <c r="B682" s="19"/>
      <c r="C682" s="3"/>
      <c r="D682" s="6"/>
      <c r="E682" s="6"/>
      <c r="F682" s="6"/>
      <c r="H682" s="21"/>
      <c r="I682" s="21"/>
      <c r="J682" s="21"/>
      <c r="K682" s="21"/>
      <c r="L682" s="21"/>
      <c r="M682" s="16" t="str">
        <f t="shared" si="5"/>
        <v/>
      </c>
      <c r="N682" s="21" t="str">
        <f t="shared" si="6"/>
        <v/>
      </c>
    </row>
    <row r="683" ht="13.5" customHeight="1">
      <c r="A683" s="25"/>
      <c r="B683" s="19"/>
      <c r="C683" s="6" t="s">
        <v>2727</v>
      </c>
      <c r="D683" s="6">
        <v>1.0</v>
      </c>
      <c r="E683" s="6">
        <v>1.0</v>
      </c>
      <c r="F683" s="6">
        <v>1.0</v>
      </c>
      <c r="G683" s="6">
        <v>1.0</v>
      </c>
      <c r="H683" s="21">
        <v>20.0</v>
      </c>
      <c r="I683" s="21">
        <v>1.0</v>
      </c>
      <c r="J683" s="21"/>
      <c r="K683" s="21"/>
      <c r="L683" s="21"/>
      <c r="M683" s="16">
        <f t="shared" si="5"/>
        <v>20</v>
      </c>
      <c r="N683" s="21">
        <f t="shared" si="6"/>
        <v>83</v>
      </c>
    </row>
    <row r="684" ht="13.5" customHeight="1">
      <c r="A684" s="25"/>
      <c r="B684" s="19"/>
      <c r="C684" s="3" t="s">
        <v>850</v>
      </c>
      <c r="D684" s="6">
        <v>1.0</v>
      </c>
      <c r="E684" s="6">
        <v>1.0</v>
      </c>
      <c r="F684" s="6">
        <v>1.0</v>
      </c>
      <c r="G684" s="6">
        <v>1.0</v>
      </c>
      <c r="H684" s="21">
        <v>80.0</v>
      </c>
      <c r="I684" s="21">
        <v>1.0</v>
      </c>
      <c r="J684" s="21"/>
      <c r="K684" s="21"/>
      <c r="L684" s="21"/>
      <c r="M684" s="16">
        <f t="shared" si="5"/>
        <v>80</v>
      </c>
      <c r="N684" s="21">
        <f t="shared" si="6"/>
        <v>56</v>
      </c>
    </row>
    <row r="685" ht="13.5" customHeight="1">
      <c r="A685" s="25"/>
      <c r="B685" s="19"/>
      <c r="C685" s="3" t="s">
        <v>920</v>
      </c>
      <c r="D685" s="6">
        <v>1.0</v>
      </c>
      <c r="E685" s="6">
        <v>1.0</v>
      </c>
      <c r="F685" s="6">
        <v>1.0</v>
      </c>
      <c r="G685" s="6">
        <v>2.0</v>
      </c>
      <c r="H685" s="21">
        <v>200.0</v>
      </c>
      <c r="I685" s="21">
        <v>1.0</v>
      </c>
      <c r="J685" s="21"/>
      <c r="K685" s="21"/>
      <c r="L685" s="21"/>
      <c r="M685" s="16">
        <f t="shared" si="5"/>
        <v>400</v>
      </c>
      <c r="N685" s="21">
        <f t="shared" si="6"/>
        <v>20</v>
      </c>
    </row>
    <row r="686" ht="13.5" customHeight="1">
      <c r="A686" s="25"/>
      <c r="B686" s="19"/>
      <c r="C686" s="3" t="s">
        <v>851</v>
      </c>
      <c r="D686" s="6">
        <v>1.0</v>
      </c>
      <c r="E686" s="6">
        <v>1.0</v>
      </c>
      <c r="F686" s="6">
        <v>1.0</v>
      </c>
      <c r="G686" s="6">
        <v>1.0</v>
      </c>
      <c r="H686" s="21">
        <v>80.0</v>
      </c>
      <c r="I686" s="21">
        <v>1.0</v>
      </c>
      <c r="J686" s="21"/>
      <c r="K686" s="21"/>
      <c r="L686" s="21"/>
      <c r="M686" s="16">
        <f t="shared" si="5"/>
        <v>80</v>
      </c>
      <c r="N686" s="21">
        <f t="shared" si="6"/>
        <v>56</v>
      </c>
    </row>
    <row r="687" ht="13.5" customHeight="1">
      <c r="A687" s="25"/>
      <c r="B687" s="19"/>
      <c r="C687" s="3" t="s">
        <v>915</v>
      </c>
      <c r="D687" s="6">
        <v>1.0</v>
      </c>
      <c r="E687" s="6">
        <v>1.0</v>
      </c>
      <c r="F687" s="6">
        <v>1.0</v>
      </c>
      <c r="G687" s="6">
        <v>3.0</v>
      </c>
      <c r="H687" s="21">
        <v>500.0</v>
      </c>
      <c r="I687" s="21">
        <v>1.0</v>
      </c>
      <c r="J687" s="21"/>
      <c r="K687" s="21"/>
      <c r="L687" s="21"/>
      <c r="M687" s="16">
        <f t="shared" si="5"/>
        <v>1500</v>
      </c>
      <c r="N687" s="21">
        <f t="shared" si="6"/>
        <v>6</v>
      </c>
    </row>
    <row r="688" ht="13.5" customHeight="1">
      <c r="A688" s="25"/>
      <c r="B688" s="19"/>
      <c r="C688" s="3" t="s">
        <v>917</v>
      </c>
      <c r="D688" s="6">
        <v>1.0</v>
      </c>
      <c r="E688" s="6">
        <v>1.0</v>
      </c>
      <c r="F688" s="6">
        <v>1.0</v>
      </c>
      <c r="G688" s="6">
        <v>3.0</v>
      </c>
      <c r="H688" s="21">
        <v>350.0</v>
      </c>
      <c r="I688" s="21">
        <v>1.0</v>
      </c>
      <c r="J688" s="21"/>
      <c r="K688" s="21"/>
      <c r="L688" s="21"/>
      <c r="M688" s="16">
        <f t="shared" si="5"/>
        <v>1050</v>
      </c>
      <c r="N688" s="21">
        <f t="shared" si="6"/>
        <v>9</v>
      </c>
    </row>
    <row r="689" ht="13.5" customHeight="1">
      <c r="A689" s="23"/>
      <c r="B689" s="19"/>
      <c r="C689" s="6" t="s">
        <v>879</v>
      </c>
      <c r="D689" s="6">
        <v>1.0</v>
      </c>
      <c r="E689" s="6">
        <v>1.0</v>
      </c>
      <c r="F689" s="6">
        <v>1.0</v>
      </c>
      <c r="G689" s="6">
        <v>2.0</v>
      </c>
      <c r="H689" s="21">
        <v>50.0</v>
      </c>
      <c r="I689" s="21">
        <v>1.0</v>
      </c>
      <c r="J689" s="21"/>
      <c r="K689" s="21"/>
      <c r="L689" s="21"/>
      <c r="M689" s="16">
        <f t="shared" si="5"/>
        <v>100</v>
      </c>
      <c r="N689" s="21">
        <f t="shared" si="6"/>
        <v>50</v>
      </c>
    </row>
    <row r="690" ht="13.5" customHeight="1">
      <c r="A690" s="23"/>
      <c r="B690" s="19"/>
      <c r="C690" s="6" t="s">
        <v>884</v>
      </c>
      <c r="D690" s="6">
        <v>1.0</v>
      </c>
      <c r="E690" s="6">
        <v>1.0</v>
      </c>
      <c r="F690" s="6">
        <v>1.0</v>
      </c>
      <c r="G690" s="6">
        <v>4.0</v>
      </c>
      <c r="H690" s="21">
        <v>2500.0</v>
      </c>
      <c r="I690" s="21">
        <v>1.0</v>
      </c>
      <c r="J690" s="21"/>
      <c r="K690" s="21"/>
      <c r="L690" s="21"/>
      <c r="M690" s="16">
        <f t="shared" si="5"/>
        <v>10000</v>
      </c>
      <c r="N690" s="21">
        <f t="shared" si="6"/>
        <v>1</v>
      </c>
    </row>
    <row r="691" ht="13.5" customHeight="1">
      <c r="A691" s="23" t="s">
        <v>2737</v>
      </c>
      <c r="B691" s="19"/>
      <c r="C691" s="3"/>
      <c r="D691" s="6"/>
      <c r="E691" s="6"/>
      <c r="F691" s="6"/>
      <c r="H691" s="21"/>
      <c r="I691" s="21"/>
      <c r="J691" s="21"/>
      <c r="K691" s="21"/>
      <c r="L691" s="21"/>
      <c r="M691" s="16" t="str">
        <f t="shared" si="5"/>
        <v/>
      </c>
      <c r="N691" s="21" t="str">
        <f t="shared" si="6"/>
        <v/>
      </c>
    </row>
    <row r="692" ht="13.5" customHeight="1">
      <c r="A692" s="25"/>
      <c r="B692" s="19"/>
      <c r="C692" s="3" t="s">
        <v>827</v>
      </c>
      <c r="D692" s="6">
        <v>1.0</v>
      </c>
      <c r="E692" s="6">
        <v>1.0</v>
      </c>
      <c r="F692" s="6">
        <v>1.0</v>
      </c>
      <c r="G692" s="6">
        <v>3.0</v>
      </c>
      <c r="H692" s="21">
        <v>20.0</v>
      </c>
      <c r="I692" s="20">
        <v>1.0</v>
      </c>
      <c r="J692" s="21"/>
      <c r="K692" s="21"/>
      <c r="L692" s="21"/>
      <c r="M692" s="16">
        <f t="shared" si="5"/>
        <v>60</v>
      </c>
      <c r="N692" s="21">
        <f t="shared" si="6"/>
        <v>63</v>
      </c>
    </row>
    <row r="693" ht="13.5" customHeight="1">
      <c r="A693" s="25"/>
      <c r="B693" s="19"/>
      <c r="C693" s="3" t="s">
        <v>828</v>
      </c>
      <c r="D693" s="6">
        <v>1.0</v>
      </c>
      <c r="E693" s="6">
        <v>1.0</v>
      </c>
      <c r="F693" s="6">
        <v>1.0</v>
      </c>
      <c r="G693" s="6">
        <v>3.0</v>
      </c>
      <c r="H693" s="21">
        <v>19.0</v>
      </c>
      <c r="I693" s="20">
        <v>1.0</v>
      </c>
      <c r="J693" s="21"/>
      <c r="K693" s="21"/>
      <c r="L693" s="21"/>
      <c r="M693" s="16">
        <f t="shared" si="5"/>
        <v>57</v>
      </c>
      <c r="N693" s="21">
        <f t="shared" si="6"/>
        <v>64</v>
      </c>
    </row>
    <row r="694" ht="13.5" customHeight="1">
      <c r="A694" s="25"/>
      <c r="B694" s="19"/>
      <c r="C694" s="3" t="s">
        <v>831</v>
      </c>
      <c r="D694" s="6">
        <v>1.0</v>
      </c>
      <c r="E694" s="6">
        <v>1.0</v>
      </c>
      <c r="F694" s="6">
        <v>1.0</v>
      </c>
      <c r="G694" s="6">
        <v>3.0</v>
      </c>
      <c r="H694" s="21">
        <v>18.0</v>
      </c>
      <c r="I694" s="20">
        <v>1.0</v>
      </c>
      <c r="J694" s="21"/>
      <c r="K694" s="21"/>
      <c r="L694" s="21"/>
      <c r="M694" s="16">
        <f t="shared" si="5"/>
        <v>54</v>
      </c>
      <c r="N694" s="21">
        <f t="shared" si="6"/>
        <v>65</v>
      </c>
    </row>
    <row r="695" ht="13.5" customHeight="1">
      <c r="A695" s="25"/>
      <c r="B695" s="19"/>
      <c r="C695" s="3" t="s">
        <v>832</v>
      </c>
      <c r="D695" s="6">
        <v>1.0</v>
      </c>
      <c r="E695" s="6">
        <v>1.0</v>
      </c>
      <c r="F695" s="6">
        <v>1.0</v>
      </c>
      <c r="G695" s="6">
        <v>2.0</v>
      </c>
      <c r="H695" s="21">
        <v>17.0</v>
      </c>
      <c r="I695" s="20">
        <v>1.0</v>
      </c>
      <c r="J695" s="21"/>
      <c r="K695" s="21"/>
      <c r="L695" s="21"/>
      <c r="M695" s="16">
        <f t="shared" si="5"/>
        <v>34</v>
      </c>
      <c r="N695" s="21">
        <f t="shared" si="6"/>
        <v>75</v>
      </c>
    </row>
    <row r="696" ht="13.5" customHeight="1">
      <c r="A696" s="25"/>
      <c r="B696" s="19"/>
      <c r="C696" s="3" t="s">
        <v>833</v>
      </c>
      <c r="D696" s="6">
        <v>1.0</v>
      </c>
      <c r="E696" s="6">
        <v>1.0</v>
      </c>
      <c r="F696" s="6">
        <v>1.0</v>
      </c>
      <c r="G696" s="6">
        <v>2.0</v>
      </c>
      <c r="H696" s="21">
        <v>15.0</v>
      </c>
      <c r="I696" s="20">
        <v>1.0</v>
      </c>
      <c r="J696" s="21"/>
      <c r="K696" s="21"/>
      <c r="L696" s="21"/>
      <c r="M696" s="16">
        <f t="shared" si="5"/>
        <v>30</v>
      </c>
      <c r="N696" s="21">
        <f t="shared" si="6"/>
        <v>77</v>
      </c>
    </row>
    <row r="697" ht="13.5" customHeight="1">
      <c r="A697" s="25"/>
      <c r="B697" s="19"/>
      <c r="C697" s="3" t="s">
        <v>834</v>
      </c>
      <c r="D697" s="6">
        <v>1.0</v>
      </c>
      <c r="E697" s="6">
        <v>1.0</v>
      </c>
      <c r="F697" s="6">
        <v>1.0</v>
      </c>
      <c r="G697" s="6">
        <v>2.0</v>
      </c>
      <c r="H697" s="21">
        <v>14.0</v>
      </c>
      <c r="I697" s="20">
        <v>1.0</v>
      </c>
      <c r="J697" s="21"/>
      <c r="K697" s="21"/>
      <c r="L697" s="21"/>
      <c r="M697" s="16">
        <f t="shared" si="5"/>
        <v>28</v>
      </c>
      <c r="N697" s="21">
        <f t="shared" si="6"/>
        <v>78</v>
      </c>
    </row>
    <row r="698" ht="13.5" customHeight="1">
      <c r="A698" s="25"/>
      <c r="B698" s="19"/>
      <c r="C698" s="3" t="s">
        <v>837</v>
      </c>
      <c r="D698" s="6">
        <v>1.0</v>
      </c>
      <c r="E698" s="6">
        <v>1.0</v>
      </c>
      <c r="F698" s="6">
        <v>1.0</v>
      </c>
      <c r="G698" s="6">
        <v>2.0</v>
      </c>
      <c r="H698" s="21">
        <v>13.0</v>
      </c>
      <c r="I698" s="20">
        <v>1.0</v>
      </c>
      <c r="J698" s="21"/>
      <c r="K698" s="21"/>
      <c r="L698" s="21"/>
      <c r="M698" s="16">
        <f t="shared" si="5"/>
        <v>26</v>
      </c>
      <c r="N698" s="21">
        <f t="shared" si="6"/>
        <v>79</v>
      </c>
    </row>
    <row r="699" ht="13.5" customHeight="1">
      <c r="A699" s="25"/>
      <c r="B699" s="19"/>
      <c r="C699" s="3" t="s">
        <v>838</v>
      </c>
      <c r="D699" s="6">
        <v>1.0</v>
      </c>
      <c r="E699" s="6">
        <v>1.0</v>
      </c>
      <c r="F699" s="6">
        <v>1.0</v>
      </c>
      <c r="G699" s="6">
        <v>1.0</v>
      </c>
      <c r="H699" s="21">
        <v>17.0</v>
      </c>
      <c r="I699" s="20">
        <v>1.0</v>
      </c>
      <c r="J699" s="21"/>
      <c r="K699" s="21"/>
      <c r="L699" s="21"/>
      <c r="M699" s="16">
        <f t="shared" si="5"/>
        <v>17</v>
      </c>
      <c r="N699" s="21">
        <f t="shared" si="6"/>
        <v>85</v>
      </c>
    </row>
    <row r="700" ht="13.5" customHeight="1">
      <c r="A700" s="25"/>
      <c r="B700" s="19"/>
      <c r="C700" s="3" t="s">
        <v>839</v>
      </c>
      <c r="D700" s="6">
        <v>1.0</v>
      </c>
      <c r="E700" s="6">
        <v>1.0</v>
      </c>
      <c r="F700" s="6">
        <v>1.0</v>
      </c>
      <c r="G700" s="6">
        <v>1.0</v>
      </c>
      <c r="H700" s="21">
        <v>17.0</v>
      </c>
      <c r="I700" s="20">
        <v>1.0</v>
      </c>
      <c r="J700" s="21"/>
      <c r="K700" s="21"/>
      <c r="L700" s="21"/>
      <c r="M700" s="16">
        <f t="shared" si="5"/>
        <v>17</v>
      </c>
      <c r="N700" s="21">
        <f t="shared" si="6"/>
        <v>85</v>
      </c>
    </row>
    <row r="701" ht="13.5" customHeight="1">
      <c r="A701" s="25"/>
      <c r="B701" s="19"/>
      <c r="C701" s="3" t="s">
        <v>842</v>
      </c>
      <c r="D701" s="6">
        <v>1.0</v>
      </c>
      <c r="E701" s="6">
        <v>1.0</v>
      </c>
      <c r="F701" s="6">
        <v>1.0</v>
      </c>
      <c r="G701" s="6">
        <v>1.0</v>
      </c>
      <c r="H701" s="21">
        <v>17.0</v>
      </c>
      <c r="I701" s="20">
        <v>1.0</v>
      </c>
      <c r="J701" s="21"/>
      <c r="K701" s="21"/>
      <c r="L701" s="21"/>
      <c r="M701" s="16">
        <f t="shared" si="5"/>
        <v>17</v>
      </c>
      <c r="N701" s="21">
        <f t="shared" si="6"/>
        <v>85</v>
      </c>
    </row>
    <row r="702" ht="13.5" customHeight="1">
      <c r="A702" s="25"/>
      <c r="B702" s="19"/>
      <c r="C702" s="3" t="s">
        <v>843</v>
      </c>
      <c r="D702" s="6">
        <v>1.0</v>
      </c>
      <c r="E702" s="6">
        <v>1.0</v>
      </c>
      <c r="F702" s="6">
        <v>1.0</v>
      </c>
      <c r="G702" s="6">
        <v>1.0</v>
      </c>
      <c r="H702" s="21">
        <v>15.0</v>
      </c>
      <c r="I702" s="20">
        <v>1.0</v>
      </c>
      <c r="J702" s="21"/>
      <c r="K702" s="21"/>
      <c r="L702" s="21"/>
      <c r="M702" s="16">
        <f t="shared" si="5"/>
        <v>15</v>
      </c>
      <c r="N702" s="21">
        <f t="shared" si="6"/>
        <v>87</v>
      </c>
    </row>
    <row r="703" ht="13.5" customHeight="1">
      <c r="A703" s="25"/>
      <c r="B703" s="19"/>
      <c r="C703" s="3" t="s">
        <v>844</v>
      </c>
      <c r="D703" s="6">
        <v>1.0</v>
      </c>
      <c r="E703" s="6">
        <v>1.0</v>
      </c>
      <c r="F703" s="6">
        <v>1.0</v>
      </c>
      <c r="G703" s="6">
        <v>1.0</v>
      </c>
      <c r="H703" s="21">
        <v>12.0</v>
      </c>
      <c r="I703" s="20">
        <v>1.0</v>
      </c>
      <c r="J703" s="21"/>
      <c r="K703" s="21"/>
      <c r="L703" s="21"/>
      <c r="M703" s="16">
        <f t="shared" si="5"/>
        <v>12</v>
      </c>
      <c r="N703" s="21">
        <f t="shared" si="6"/>
        <v>89</v>
      </c>
    </row>
    <row r="704" ht="13.5" customHeight="1">
      <c r="A704" s="25"/>
      <c r="B704" s="19"/>
      <c r="C704" s="3" t="s">
        <v>845</v>
      </c>
      <c r="D704" s="6">
        <v>1.0</v>
      </c>
      <c r="E704" s="6">
        <v>1.0</v>
      </c>
      <c r="F704" s="6">
        <v>1.0</v>
      </c>
      <c r="G704" s="6">
        <v>1.0</v>
      </c>
      <c r="H704" s="21">
        <v>10.0</v>
      </c>
      <c r="I704" s="20">
        <v>1.0</v>
      </c>
      <c r="J704" s="21"/>
      <c r="K704" s="21"/>
      <c r="L704" s="21"/>
      <c r="M704" s="16">
        <f t="shared" si="5"/>
        <v>10</v>
      </c>
      <c r="N704" s="21">
        <f t="shared" si="6"/>
        <v>91</v>
      </c>
    </row>
    <row r="705" ht="13.5" customHeight="1">
      <c r="A705" s="25"/>
      <c r="B705" s="19"/>
      <c r="C705" s="3" t="s">
        <v>848</v>
      </c>
      <c r="D705" s="6">
        <v>1.0</v>
      </c>
      <c r="E705" s="6">
        <v>1.0</v>
      </c>
      <c r="F705" s="6">
        <v>1.0</v>
      </c>
      <c r="G705" s="6">
        <v>1.0</v>
      </c>
      <c r="H705" s="21">
        <v>7.0</v>
      </c>
      <c r="I705" s="20">
        <v>1.0</v>
      </c>
      <c r="J705" s="21"/>
      <c r="K705" s="21"/>
      <c r="L705" s="21"/>
      <c r="M705" s="16">
        <f t="shared" si="5"/>
        <v>7</v>
      </c>
      <c r="N705" s="21">
        <f t="shared" si="6"/>
        <v>93</v>
      </c>
    </row>
    <row r="706" ht="13.5" customHeight="1">
      <c r="A706" s="25"/>
      <c r="B706" s="19"/>
      <c r="C706" s="3" t="s">
        <v>849</v>
      </c>
      <c r="D706" s="6">
        <v>1.0</v>
      </c>
      <c r="E706" s="6">
        <v>1.0</v>
      </c>
      <c r="F706" s="6">
        <v>1.0</v>
      </c>
      <c r="G706" s="6">
        <v>1.0</v>
      </c>
      <c r="H706" s="21">
        <v>5.0</v>
      </c>
      <c r="I706" s="20">
        <v>1.0</v>
      </c>
      <c r="J706" s="21"/>
      <c r="K706" s="21"/>
      <c r="L706" s="21"/>
      <c r="M706" s="16">
        <f t="shared" si="5"/>
        <v>5</v>
      </c>
      <c r="N706" s="21">
        <f t="shared" si="6"/>
        <v>95</v>
      </c>
    </row>
    <row r="707" ht="13.5" customHeight="1">
      <c r="A707" s="25"/>
      <c r="B707" s="19"/>
      <c r="C707" s="3" t="s">
        <v>922</v>
      </c>
      <c r="D707" s="6">
        <v>1.0</v>
      </c>
      <c r="E707" s="6">
        <v>0.0</v>
      </c>
      <c r="F707" s="6">
        <v>1.0</v>
      </c>
      <c r="G707" s="6">
        <v>1.0</v>
      </c>
      <c r="H707" s="21">
        <v>2.0</v>
      </c>
      <c r="I707" s="20">
        <v>1.0</v>
      </c>
      <c r="J707" s="21"/>
      <c r="K707" s="21"/>
      <c r="L707" s="21"/>
      <c r="M707" s="16">
        <f t="shared" si="5"/>
        <v>2</v>
      </c>
      <c r="N707" s="21">
        <f t="shared" si="6"/>
        <v>98</v>
      </c>
    </row>
    <row r="708" ht="13.5" customHeight="1">
      <c r="A708" s="23" t="s">
        <v>2810</v>
      </c>
      <c r="B708" s="19"/>
      <c r="C708" s="3"/>
      <c r="D708" s="6"/>
      <c r="E708" s="6"/>
      <c r="F708" s="6"/>
      <c r="H708" s="21"/>
      <c r="I708" s="20"/>
      <c r="J708" s="21"/>
      <c r="K708" s="21"/>
      <c r="L708" s="21"/>
      <c r="M708" s="16" t="str">
        <f t="shared" si="5"/>
        <v/>
      </c>
      <c r="N708" s="21" t="str">
        <f t="shared" si="6"/>
        <v/>
      </c>
    </row>
    <row r="709" ht="13.5" customHeight="1">
      <c r="A709" s="25"/>
      <c r="B709" s="19"/>
      <c r="C709" s="3" t="s">
        <v>857</v>
      </c>
      <c r="D709" s="6">
        <v>1.0</v>
      </c>
      <c r="E709" s="6">
        <v>1.0</v>
      </c>
      <c r="F709" s="6">
        <v>1.0</v>
      </c>
      <c r="G709" s="6">
        <v>3.0</v>
      </c>
      <c r="H709" s="21">
        <v>18.0</v>
      </c>
      <c r="I709" s="20">
        <v>1.0</v>
      </c>
      <c r="J709" s="21"/>
      <c r="K709" s="21"/>
      <c r="L709" s="21"/>
      <c r="M709" s="16">
        <f t="shared" si="5"/>
        <v>54</v>
      </c>
      <c r="N709" s="21">
        <f t="shared" si="6"/>
        <v>65</v>
      </c>
    </row>
    <row r="710" ht="13.5" customHeight="1">
      <c r="A710" s="25"/>
      <c r="B710" s="19"/>
      <c r="C710" s="3" t="s">
        <v>858</v>
      </c>
      <c r="D710" s="6">
        <v>1.0</v>
      </c>
      <c r="E710" s="6">
        <v>1.0</v>
      </c>
      <c r="F710" s="6">
        <v>1.0</v>
      </c>
      <c r="G710" s="6">
        <v>3.0</v>
      </c>
      <c r="H710" s="21">
        <v>16.0</v>
      </c>
      <c r="I710" s="21">
        <v>1.0</v>
      </c>
      <c r="J710" s="21"/>
      <c r="K710" s="21"/>
      <c r="L710" s="21"/>
      <c r="M710" s="16">
        <f t="shared" si="5"/>
        <v>48</v>
      </c>
      <c r="N710" s="21">
        <f t="shared" si="6"/>
        <v>68</v>
      </c>
    </row>
    <row r="711" ht="13.5" customHeight="1">
      <c r="A711" s="25"/>
      <c r="B711" s="19"/>
      <c r="C711" s="6" t="s">
        <v>2827</v>
      </c>
      <c r="D711" s="6">
        <v>1.0</v>
      </c>
      <c r="E711" s="6">
        <v>1.0</v>
      </c>
      <c r="F711" s="6">
        <v>1.0</v>
      </c>
      <c r="G711" s="6">
        <v>3.0</v>
      </c>
      <c r="H711" s="21">
        <v>15.0</v>
      </c>
      <c r="I711" s="21">
        <v>1.0</v>
      </c>
      <c r="J711" s="21"/>
      <c r="K711" s="21"/>
      <c r="L711" s="21"/>
      <c r="M711" s="16">
        <f t="shared" si="5"/>
        <v>45</v>
      </c>
      <c r="N711" s="21">
        <f t="shared" si="6"/>
        <v>69</v>
      </c>
    </row>
    <row r="712" ht="13.5" customHeight="1">
      <c r="A712" s="25"/>
      <c r="B712" s="19"/>
      <c r="C712" s="6" t="s">
        <v>2834</v>
      </c>
      <c r="D712" s="6">
        <v>1.0</v>
      </c>
      <c r="E712" s="6">
        <v>1.0</v>
      </c>
      <c r="F712" s="6">
        <v>1.0</v>
      </c>
      <c r="G712" s="6">
        <v>2.0</v>
      </c>
      <c r="H712" s="21">
        <v>19.0</v>
      </c>
      <c r="I712" s="21">
        <v>1.0</v>
      </c>
      <c r="J712" s="21"/>
      <c r="K712" s="21"/>
      <c r="L712" s="21"/>
      <c r="M712" s="16">
        <f t="shared" si="5"/>
        <v>38</v>
      </c>
      <c r="N712" s="21">
        <f t="shared" si="6"/>
        <v>72</v>
      </c>
    </row>
    <row r="713" ht="13.5" customHeight="1">
      <c r="A713" s="25"/>
      <c r="B713" s="19"/>
      <c r="C713" s="3" t="s">
        <v>863</v>
      </c>
      <c r="D713" s="6">
        <v>1.0</v>
      </c>
      <c r="E713" s="6">
        <v>1.0</v>
      </c>
      <c r="F713" s="6">
        <v>1.0</v>
      </c>
      <c r="G713" s="6">
        <v>2.0</v>
      </c>
      <c r="H713" s="21">
        <v>18.0</v>
      </c>
      <c r="I713" s="21">
        <v>1.0</v>
      </c>
      <c r="J713" s="21"/>
      <c r="K713" s="21"/>
      <c r="L713" s="21"/>
      <c r="M713" s="16">
        <f t="shared" si="5"/>
        <v>36</v>
      </c>
      <c r="N713" s="21">
        <f t="shared" si="6"/>
        <v>74</v>
      </c>
    </row>
    <row r="714" ht="13.5" customHeight="1">
      <c r="A714" s="25"/>
      <c r="B714" s="19"/>
      <c r="C714" s="3" t="s">
        <v>864</v>
      </c>
      <c r="D714" s="6">
        <v>1.0</v>
      </c>
      <c r="E714" s="6">
        <v>1.0</v>
      </c>
      <c r="F714" s="6">
        <v>1.0</v>
      </c>
      <c r="G714" s="6">
        <v>1.0</v>
      </c>
      <c r="H714" s="21">
        <v>25.0</v>
      </c>
      <c r="I714" s="21">
        <v>1.0</v>
      </c>
      <c r="J714" s="21"/>
      <c r="K714" s="21"/>
      <c r="L714" s="21"/>
      <c r="M714" s="16">
        <f t="shared" si="5"/>
        <v>25</v>
      </c>
      <c r="N714" s="21">
        <f t="shared" si="6"/>
        <v>80</v>
      </c>
    </row>
    <row r="715" ht="13.5" customHeight="1">
      <c r="A715" s="25"/>
      <c r="B715" s="19"/>
      <c r="C715" s="3" t="s">
        <v>926</v>
      </c>
      <c r="D715" s="6">
        <v>1.0</v>
      </c>
      <c r="E715" s="6">
        <v>1.0</v>
      </c>
      <c r="F715" s="6">
        <v>1.0</v>
      </c>
      <c r="G715" s="6">
        <v>1.0</v>
      </c>
      <c r="H715" s="21">
        <v>5.0</v>
      </c>
      <c r="I715" s="21">
        <v>1.0</v>
      </c>
      <c r="J715" s="21"/>
      <c r="K715" s="21"/>
      <c r="L715" s="21"/>
      <c r="M715" s="16">
        <f t="shared" si="5"/>
        <v>5</v>
      </c>
      <c r="N715" s="21">
        <f t="shared" si="6"/>
        <v>95</v>
      </c>
    </row>
    <row r="716" ht="13.5" customHeight="1">
      <c r="A716" s="34" t="s">
        <v>2853</v>
      </c>
      <c r="B716" s="19"/>
      <c r="C716" s="3"/>
      <c r="D716" s="6"/>
      <c r="E716" s="6"/>
      <c r="F716" s="6"/>
      <c r="H716" s="21"/>
      <c r="I716" s="21"/>
      <c r="J716" s="21"/>
      <c r="K716" s="21"/>
      <c r="L716" s="21"/>
      <c r="M716" s="16" t="str">
        <f t="shared" si="5"/>
        <v/>
      </c>
      <c r="N716" s="21" t="str">
        <f t="shared" si="6"/>
        <v/>
      </c>
    </row>
    <row r="717" ht="13.5" customHeight="1">
      <c r="A717" s="25"/>
      <c r="B717" s="19" t="s">
        <v>2854</v>
      </c>
      <c r="C717" s="3" t="s">
        <v>891</v>
      </c>
      <c r="D717" s="6">
        <v>1.0</v>
      </c>
      <c r="E717" s="6">
        <v>1.0</v>
      </c>
      <c r="F717" s="6">
        <v>1.0</v>
      </c>
      <c r="G717" s="6">
        <v>3.0</v>
      </c>
      <c r="H717" s="21">
        <v>100.0</v>
      </c>
      <c r="I717" s="21">
        <v>1.0</v>
      </c>
      <c r="J717" s="21"/>
      <c r="K717" s="21"/>
      <c r="L717" s="21"/>
      <c r="M717" s="16">
        <f t="shared" si="5"/>
        <v>300</v>
      </c>
      <c r="N717" s="21">
        <f t="shared" si="6"/>
        <v>25</v>
      </c>
    </row>
    <row r="718" ht="13.5" customHeight="1">
      <c r="A718" s="25"/>
      <c r="B718" s="19" t="s">
        <v>2855</v>
      </c>
      <c r="C718" s="3" t="s">
        <v>892</v>
      </c>
      <c r="D718" s="6">
        <v>1.0</v>
      </c>
      <c r="E718" s="6">
        <v>1.0</v>
      </c>
      <c r="F718" s="6">
        <v>1.0</v>
      </c>
      <c r="G718" s="6">
        <v>2.0</v>
      </c>
      <c r="H718" s="21">
        <v>100.0</v>
      </c>
      <c r="I718" s="21">
        <v>1.0</v>
      </c>
      <c r="J718" s="21"/>
      <c r="K718" s="21"/>
      <c r="L718" s="21"/>
      <c r="M718" s="16">
        <f t="shared" si="5"/>
        <v>200</v>
      </c>
      <c r="N718" s="21">
        <f t="shared" si="6"/>
        <v>33</v>
      </c>
    </row>
    <row r="719" ht="13.5" customHeight="1">
      <c r="A719" s="25"/>
      <c r="B719" s="19" t="s">
        <v>2856</v>
      </c>
      <c r="C719" s="3" t="s">
        <v>893</v>
      </c>
      <c r="D719" s="6">
        <v>1.0</v>
      </c>
      <c r="E719" s="6">
        <v>1.0</v>
      </c>
      <c r="F719" s="6">
        <v>1.0</v>
      </c>
      <c r="G719" s="6">
        <v>1.0</v>
      </c>
      <c r="H719" s="21">
        <v>100.0</v>
      </c>
      <c r="I719" s="21">
        <v>1.0</v>
      </c>
      <c r="J719" s="21"/>
      <c r="K719" s="21"/>
      <c r="L719" s="21"/>
      <c r="M719" s="16">
        <f t="shared" si="5"/>
        <v>100</v>
      </c>
      <c r="N719" s="21">
        <f t="shared" si="6"/>
        <v>50</v>
      </c>
    </row>
    <row r="720" ht="13.5" customHeight="1">
      <c r="A720" s="25"/>
      <c r="B720" s="19" t="s">
        <v>2857</v>
      </c>
      <c r="C720" s="3" t="s">
        <v>2857</v>
      </c>
      <c r="D720" s="6">
        <v>0.0</v>
      </c>
      <c r="E720" s="6">
        <v>0.0</v>
      </c>
      <c r="F720" s="6">
        <v>0.0</v>
      </c>
      <c r="G720" s="6">
        <v>1.0</v>
      </c>
      <c r="H720" s="21">
        <v>100.0</v>
      </c>
      <c r="I720" s="21">
        <v>1.0</v>
      </c>
      <c r="J720" s="21"/>
      <c r="K720" s="21"/>
      <c r="L720" s="21"/>
      <c r="M720" s="16" t="str">
        <f t="shared" si="5"/>
        <v/>
      </c>
      <c r="N720" s="21" t="str">
        <f t="shared" si="6"/>
        <v/>
      </c>
    </row>
    <row r="721" ht="13.5" customHeight="1">
      <c r="A721" s="23" t="s">
        <v>2858</v>
      </c>
      <c r="B721" s="19"/>
      <c r="C721" s="3"/>
      <c r="D721" s="6"/>
      <c r="E721" s="6"/>
      <c r="F721" s="6"/>
      <c r="H721" s="21"/>
      <c r="I721" s="21"/>
      <c r="J721" s="21"/>
      <c r="K721" s="21"/>
      <c r="L721" s="21"/>
      <c r="M721" s="16" t="str">
        <f t="shared" si="5"/>
        <v/>
      </c>
      <c r="N721" s="21" t="str">
        <f t="shared" si="6"/>
        <v/>
      </c>
    </row>
    <row r="722" ht="13.5" customHeight="1">
      <c r="A722" s="25"/>
      <c r="B722" s="19"/>
      <c r="C722" s="3" t="s">
        <v>869</v>
      </c>
      <c r="D722" s="6">
        <v>1.0</v>
      </c>
      <c r="E722" s="6">
        <v>1.0</v>
      </c>
      <c r="F722" s="6">
        <v>1.0</v>
      </c>
      <c r="G722" s="41">
        <v>1.0</v>
      </c>
      <c r="H722" s="20">
        <v>20.0</v>
      </c>
      <c r="I722" s="21">
        <v>1.0</v>
      </c>
      <c r="J722" s="21"/>
      <c r="K722" s="21"/>
      <c r="L722" s="21"/>
      <c r="M722" s="16">
        <f t="shared" si="5"/>
        <v>20</v>
      </c>
      <c r="N722" s="21">
        <f t="shared" si="6"/>
        <v>83</v>
      </c>
    </row>
    <row r="723" ht="13.5" customHeight="1">
      <c r="A723" s="25"/>
      <c r="B723" s="19"/>
      <c r="C723" s="3" t="s">
        <v>870</v>
      </c>
      <c r="D723" s="6">
        <v>1.0</v>
      </c>
      <c r="E723" s="6">
        <v>1.0</v>
      </c>
      <c r="F723" s="6">
        <v>1.0</v>
      </c>
      <c r="G723" s="40">
        <v>2.0</v>
      </c>
      <c r="H723" s="20">
        <v>100.0</v>
      </c>
      <c r="I723" s="21">
        <v>1.0</v>
      </c>
      <c r="J723" s="21"/>
      <c r="K723" s="21"/>
      <c r="L723" s="21"/>
      <c r="M723" s="16">
        <f t="shared" si="5"/>
        <v>200</v>
      </c>
      <c r="N723" s="21">
        <f t="shared" si="6"/>
        <v>33</v>
      </c>
    </row>
    <row r="724" ht="13.5" customHeight="1">
      <c r="A724" s="25"/>
      <c r="B724" s="19"/>
      <c r="C724" s="3" t="s">
        <v>2859</v>
      </c>
      <c r="D724" s="6">
        <v>1.0</v>
      </c>
      <c r="E724" s="6">
        <v>1.0</v>
      </c>
      <c r="F724" s="6">
        <v>1.0</v>
      </c>
      <c r="G724" s="41">
        <v>1.0</v>
      </c>
      <c r="H724" s="20">
        <v>20.0</v>
      </c>
      <c r="I724" s="21">
        <v>1.0</v>
      </c>
      <c r="J724" s="21"/>
      <c r="K724" s="21"/>
      <c r="L724" s="21"/>
      <c r="M724" s="16">
        <f t="shared" si="5"/>
        <v>20</v>
      </c>
      <c r="N724" s="21">
        <f t="shared" si="6"/>
        <v>83</v>
      </c>
    </row>
    <row r="725" ht="13.5" customHeight="1">
      <c r="A725" s="25"/>
      <c r="B725" s="19"/>
      <c r="C725" s="3" t="s">
        <v>2860</v>
      </c>
      <c r="D725" s="6">
        <v>1.0</v>
      </c>
      <c r="E725" s="6">
        <v>1.0</v>
      </c>
      <c r="F725" s="6">
        <v>1.0</v>
      </c>
      <c r="G725" s="41">
        <v>1.0</v>
      </c>
      <c r="H725" s="20">
        <v>20.0</v>
      </c>
      <c r="I725" s="21">
        <v>1.0</v>
      </c>
      <c r="J725" s="21"/>
      <c r="K725" s="21"/>
      <c r="L725" s="21"/>
      <c r="M725" s="16">
        <f t="shared" si="5"/>
        <v>20</v>
      </c>
      <c r="N725" s="21">
        <f t="shared" si="6"/>
        <v>83</v>
      </c>
    </row>
    <row r="726" ht="13.5" customHeight="1">
      <c r="A726" s="25"/>
      <c r="B726" s="19"/>
      <c r="C726" s="3" t="s">
        <v>871</v>
      </c>
      <c r="D726" s="6">
        <v>1.0</v>
      </c>
      <c r="E726" s="6">
        <v>1.0</v>
      </c>
      <c r="F726" s="6">
        <v>1.0</v>
      </c>
      <c r="G726" s="41">
        <v>1.0</v>
      </c>
      <c r="H726" s="20">
        <v>20.0</v>
      </c>
      <c r="I726" s="21">
        <v>1.0</v>
      </c>
      <c r="J726" s="21"/>
      <c r="K726" s="21"/>
      <c r="L726" s="21"/>
      <c r="M726" s="16">
        <f t="shared" si="5"/>
        <v>20</v>
      </c>
      <c r="N726" s="21">
        <f t="shared" si="6"/>
        <v>83</v>
      </c>
    </row>
    <row r="727" ht="13.5" customHeight="1">
      <c r="A727" s="25"/>
      <c r="B727" s="19"/>
      <c r="C727" s="3" t="s">
        <v>872</v>
      </c>
      <c r="D727" s="6">
        <v>1.0</v>
      </c>
      <c r="E727" s="6">
        <v>1.0</v>
      </c>
      <c r="F727" s="6">
        <v>1.0</v>
      </c>
      <c r="G727" s="40">
        <v>2.0</v>
      </c>
      <c r="H727" s="20">
        <v>100.0</v>
      </c>
      <c r="I727" s="21">
        <v>1.0</v>
      </c>
      <c r="J727" s="21"/>
      <c r="K727" s="21"/>
      <c r="L727" s="21"/>
      <c r="M727" s="16">
        <f t="shared" si="5"/>
        <v>200</v>
      </c>
      <c r="N727" s="21">
        <f t="shared" si="6"/>
        <v>33</v>
      </c>
    </row>
    <row r="728" ht="13.5" customHeight="1">
      <c r="A728" s="25"/>
      <c r="B728" s="19"/>
      <c r="C728" s="3" t="s">
        <v>873</v>
      </c>
      <c r="D728" s="6">
        <v>1.0</v>
      </c>
      <c r="E728" s="6">
        <v>1.0</v>
      </c>
      <c r="F728" s="6">
        <v>1.0</v>
      </c>
      <c r="G728" s="40">
        <v>3.0</v>
      </c>
      <c r="H728" s="20">
        <v>100.0</v>
      </c>
      <c r="I728" s="21">
        <v>1.0</v>
      </c>
      <c r="J728" s="21"/>
      <c r="K728" s="21"/>
      <c r="L728" s="21"/>
      <c r="M728" s="16">
        <f t="shared" si="5"/>
        <v>300</v>
      </c>
      <c r="N728" s="21">
        <f t="shared" si="6"/>
        <v>25</v>
      </c>
    </row>
    <row r="729" ht="13.5" customHeight="1">
      <c r="A729" s="25"/>
      <c r="B729" s="19"/>
      <c r="C729" s="3" t="s">
        <v>875</v>
      </c>
      <c r="D729" s="6">
        <v>1.0</v>
      </c>
      <c r="E729" s="6">
        <v>1.0</v>
      </c>
      <c r="F729" s="6">
        <v>1.0</v>
      </c>
      <c r="G729" s="40">
        <v>3.0</v>
      </c>
      <c r="H729" s="20">
        <v>100.0</v>
      </c>
      <c r="I729" s="21">
        <v>1.0</v>
      </c>
      <c r="J729" s="21"/>
      <c r="K729" s="21"/>
      <c r="L729" s="21"/>
      <c r="M729" s="16">
        <f t="shared" si="5"/>
        <v>300</v>
      </c>
      <c r="N729" s="21">
        <f t="shared" si="6"/>
        <v>25</v>
      </c>
    </row>
    <row r="730" ht="13.5" customHeight="1">
      <c r="A730" s="25"/>
      <c r="B730" s="19"/>
      <c r="C730" s="3" t="s">
        <v>877</v>
      </c>
      <c r="D730" s="6">
        <v>1.0</v>
      </c>
      <c r="E730" s="6">
        <v>1.0</v>
      </c>
      <c r="F730" s="6">
        <v>1.0</v>
      </c>
      <c r="G730" s="40">
        <v>3.0</v>
      </c>
      <c r="H730" s="20">
        <v>100.0</v>
      </c>
      <c r="I730" s="21">
        <v>1.0</v>
      </c>
      <c r="J730" s="21"/>
      <c r="K730" s="21"/>
      <c r="L730" s="21"/>
      <c r="M730" s="16">
        <f t="shared" si="5"/>
        <v>300</v>
      </c>
      <c r="N730" s="21">
        <f t="shared" si="6"/>
        <v>25</v>
      </c>
    </row>
    <row r="731" ht="13.5" customHeight="1">
      <c r="A731" s="25"/>
      <c r="B731" s="19"/>
      <c r="C731" s="3" t="s">
        <v>878</v>
      </c>
      <c r="D731" s="6">
        <v>1.0</v>
      </c>
      <c r="E731" s="6">
        <v>1.0</v>
      </c>
      <c r="F731" s="6">
        <v>1.0</v>
      </c>
      <c r="G731" s="40">
        <v>3.0</v>
      </c>
      <c r="H731" s="20">
        <v>100.0</v>
      </c>
      <c r="I731" s="21">
        <v>1.0</v>
      </c>
      <c r="J731" s="21"/>
      <c r="K731" s="21"/>
      <c r="L731" s="21"/>
      <c r="M731" s="16">
        <f t="shared" si="5"/>
        <v>300</v>
      </c>
      <c r="N731" s="21">
        <f t="shared" si="6"/>
        <v>25</v>
      </c>
    </row>
    <row r="732" ht="13.5" customHeight="1">
      <c r="A732" s="25"/>
      <c r="B732" s="19"/>
      <c r="C732" s="3" t="s">
        <v>2862</v>
      </c>
      <c r="D732" s="6">
        <v>1.0</v>
      </c>
      <c r="E732" s="6">
        <v>1.0</v>
      </c>
      <c r="F732" s="6">
        <v>1.0</v>
      </c>
      <c r="G732" s="41">
        <v>1.0</v>
      </c>
      <c r="H732" s="20">
        <v>20.0</v>
      </c>
      <c r="I732" s="21">
        <v>1.0</v>
      </c>
      <c r="J732" s="21"/>
      <c r="K732" s="21"/>
      <c r="L732" s="21"/>
      <c r="M732" s="16">
        <f t="shared" si="5"/>
        <v>20</v>
      </c>
      <c r="N732" s="21">
        <f t="shared" si="6"/>
        <v>83</v>
      </c>
    </row>
    <row r="733" ht="13.5" customHeight="1">
      <c r="A733" s="23"/>
      <c r="B733" s="19"/>
      <c r="C733" s="6" t="s">
        <v>2863</v>
      </c>
      <c r="D733" s="42">
        <v>1.0</v>
      </c>
      <c r="E733" s="6">
        <v>1.0</v>
      </c>
      <c r="F733" s="6">
        <v>1.0</v>
      </c>
      <c r="G733" s="6">
        <v>1.0</v>
      </c>
      <c r="H733" s="21">
        <v>150.0</v>
      </c>
      <c r="I733" s="21">
        <v>1.0</v>
      </c>
      <c r="J733" s="21"/>
      <c r="K733" s="21"/>
      <c r="L733" s="21"/>
      <c r="M733" s="16">
        <f t="shared" si="5"/>
        <v>150</v>
      </c>
      <c r="N733" s="21">
        <f t="shared" si="6"/>
        <v>40</v>
      </c>
    </row>
    <row r="734" ht="13.5" customHeight="1">
      <c r="A734" s="23" t="s">
        <v>2864</v>
      </c>
      <c r="B734" s="19"/>
      <c r="C734" s="3"/>
      <c r="D734" s="43"/>
      <c r="E734" s="6"/>
      <c r="F734" s="6"/>
      <c r="H734" s="21"/>
      <c r="I734" s="21"/>
      <c r="J734" s="21"/>
      <c r="K734" s="21"/>
      <c r="L734" s="21"/>
      <c r="M734" s="16" t="str">
        <f t="shared" si="5"/>
        <v/>
      </c>
      <c r="N734" s="21" t="str">
        <f t="shared" si="6"/>
        <v/>
      </c>
    </row>
    <row r="735" ht="13.5" customHeight="1">
      <c r="A735" s="25"/>
      <c r="B735" s="19"/>
      <c r="C735" s="3" t="s">
        <v>2865</v>
      </c>
      <c r="D735" s="6">
        <v>1.0</v>
      </c>
      <c r="E735" s="6">
        <v>1.0</v>
      </c>
      <c r="F735" s="6">
        <v>1.0</v>
      </c>
      <c r="G735" s="6">
        <v>2.0</v>
      </c>
      <c r="H735" s="21">
        <v>300.0</v>
      </c>
      <c r="I735" s="21">
        <v>1.0</v>
      </c>
      <c r="J735" s="21"/>
      <c r="K735" s="21"/>
      <c r="L735" s="21"/>
      <c r="M735" s="16">
        <f t="shared" si="5"/>
        <v>600</v>
      </c>
      <c r="N735" s="21">
        <f t="shared" si="6"/>
        <v>14</v>
      </c>
    </row>
    <row r="736" ht="13.5" customHeight="1">
      <c r="A736" s="25"/>
      <c r="B736" s="19"/>
      <c r="C736" s="3" t="s">
        <v>2866</v>
      </c>
      <c r="D736" s="6">
        <v>1.0</v>
      </c>
      <c r="E736" s="6">
        <v>1.0</v>
      </c>
      <c r="F736" s="6">
        <v>1.0</v>
      </c>
      <c r="G736" s="6">
        <v>3.0</v>
      </c>
      <c r="H736" s="21">
        <v>1000.0</v>
      </c>
      <c r="I736" s="21">
        <v>1.0</v>
      </c>
      <c r="J736" s="21"/>
      <c r="K736" s="21"/>
      <c r="L736" s="21"/>
      <c r="M736" s="16">
        <f t="shared" si="5"/>
        <v>3000</v>
      </c>
      <c r="N736" s="21">
        <f t="shared" si="6"/>
        <v>3</v>
      </c>
    </row>
    <row r="737" ht="13.5" customHeight="1">
      <c r="A737" s="7" t="s">
        <v>2867</v>
      </c>
      <c r="B737" s="2"/>
      <c r="F737" s="6"/>
      <c r="M737" s="16" t="str">
        <f t="shared" si="5"/>
        <v/>
      </c>
      <c r="N737" s="21" t="str">
        <f t="shared" si="6"/>
        <v/>
      </c>
    </row>
    <row r="738" ht="13.5" customHeight="1">
      <c r="A738" s="25"/>
      <c r="B738" s="2"/>
      <c r="C738" s="6" t="s">
        <v>2868</v>
      </c>
      <c r="D738" s="6">
        <v>1.0</v>
      </c>
      <c r="E738" s="6">
        <v>1.0</v>
      </c>
      <c r="F738" s="6">
        <v>0.0</v>
      </c>
      <c r="G738" s="6">
        <v>1.0</v>
      </c>
      <c r="H738" s="6">
        <v>100.0</v>
      </c>
      <c r="I738" s="6">
        <v>1.0</v>
      </c>
      <c r="M738" s="16">
        <f t="shared" si="5"/>
        <v>100</v>
      </c>
      <c r="N738" s="21">
        <f t="shared" si="6"/>
        <v>50</v>
      </c>
    </row>
    <row r="739" ht="13.5" customHeight="1">
      <c r="A739" s="25"/>
      <c r="B739" s="2"/>
      <c r="C739" s="3" t="s">
        <v>2869</v>
      </c>
      <c r="D739" s="6">
        <v>1.0</v>
      </c>
      <c r="E739" s="6">
        <v>1.0</v>
      </c>
      <c r="F739" s="6">
        <v>0.0</v>
      </c>
      <c r="G739" s="6">
        <v>1.0</v>
      </c>
      <c r="H739" s="6">
        <v>300.0</v>
      </c>
      <c r="I739" s="6">
        <v>1.0</v>
      </c>
      <c r="M739" s="16">
        <f t="shared" si="5"/>
        <v>300</v>
      </c>
      <c r="N739" s="21">
        <f t="shared" si="6"/>
        <v>25</v>
      </c>
    </row>
    <row r="740" ht="13.5" customHeight="1">
      <c r="A740" s="34" t="s">
        <v>2870</v>
      </c>
      <c r="B740" s="2"/>
      <c r="D740" s="6"/>
      <c r="E740" s="6"/>
      <c r="F740" s="6"/>
      <c r="G740" s="6"/>
      <c r="M740" s="16" t="str">
        <f t="shared" si="5"/>
        <v/>
      </c>
      <c r="N740" s="21" t="str">
        <f t="shared" si="6"/>
        <v/>
      </c>
    </row>
    <row r="741" ht="13.5" customHeight="1">
      <c r="A741" s="44"/>
      <c r="B741" s="2"/>
      <c r="C741" s="3" t="s">
        <v>2871</v>
      </c>
      <c r="D741" s="6">
        <v>1.0</v>
      </c>
      <c r="E741" s="6">
        <v>1.0</v>
      </c>
      <c r="F741" s="6">
        <v>0.0</v>
      </c>
      <c r="G741" s="6">
        <v>1.0</v>
      </c>
      <c r="H741" s="6">
        <v>1100.0</v>
      </c>
      <c r="I741" s="6">
        <v>1.0</v>
      </c>
      <c r="M741" s="16">
        <f t="shared" si="5"/>
        <v>1100</v>
      </c>
      <c r="N741" s="21">
        <f t="shared" si="6"/>
        <v>8</v>
      </c>
    </row>
    <row r="742" ht="13.5" customHeight="1">
      <c r="B742" s="45" t="s">
        <v>2872</v>
      </c>
      <c r="C742" s="3" t="s">
        <v>2873</v>
      </c>
      <c r="D742" s="6">
        <v>1.0</v>
      </c>
      <c r="E742" s="6">
        <v>0.0</v>
      </c>
      <c r="F742" s="6">
        <v>0.0</v>
      </c>
      <c r="G742" s="6">
        <v>1.0</v>
      </c>
      <c r="H742" s="6">
        <v>1100.0</v>
      </c>
      <c r="I742" s="6">
        <v>1.0</v>
      </c>
      <c r="M742" s="16">
        <f t="shared" si="5"/>
        <v>1100</v>
      </c>
      <c r="N742" s="21">
        <f t="shared" si="6"/>
        <v>8</v>
      </c>
    </row>
    <row r="743" ht="13.5" customHeight="1">
      <c r="B743" s="45" t="s">
        <v>2872</v>
      </c>
      <c r="C743" s="3" t="s">
        <v>2874</v>
      </c>
      <c r="D743" s="6">
        <v>1.0</v>
      </c>
      <c r="E743" s="6">
        <v>0.0</v>
      </c>
      <c r="F743" s="6">
        <v>0.0</v>
      </c>
      <c r="G743" s="6">
        <v>1.0</v>
      </c>
      <c r="H743" s="6">
        <v>1100.0</v>
      </c>
      <c r="I743" s="6">
        <v>1.0</v>
      </c>
      <c r="M743" s="16">
        <f t="shared" si="5"/>
        <v>1100</v>
      </c>
      <c r="N743" s="21">
        <f t="shared" si="6"/>
        <v>8</v>
      </c>
    </row>
    <row r="744" ht="13.5" customHeight="1">
      <c r="B744" s="45" t="s">
        <v>2872</v>
      </c>
      <c r="C744" s="3" t="s">
        <v>2875</v>
      </c>
      <c r="D744" s="6">
        <v>1.0</v>
      </c>
      <c r="E744" s="6">
        <v>0.0</v>
      </c>
      <c r="F744" s="6">
        <v>0.0</v>
      </c>
      <c r="G744" s="6">
        <v>1.0</v>
      </c>
      <c r="H744" s="6">
        <v>1100.0</v>
      </c>
      <c r="I744" s="6">
        <v>1.0</v>
      </c>
      <c r="M744" s="16">
        <f t="shared" si="5"/>
        <v>1100</v>
      </c>
      <c r="N744" s="21">
        <f t="shared" si="6"/>
        <v>8</v>
      </c>
    </row>
    <row r="745" ht="13.5" customHeight="1">
      <c r="B745" s="45" t="s">
        <v>2872</v>
      </c>
      <c r="C745" s="3" t="s">
        <v>2876</v>
      </c>
      <c r="D745" s="6">
        <v>1.0</v>
      </c>
      <c r="E745" s="6">
        <v>0.0</v>
      </c>
      <c r="F745" s="6">
        <v>0.0</v>
      </c>
      <c r="G745" s="6">
        <v>1.0</v>
      </c>
      <c r="H745" s="6">
        <v>1100.0</v>
      </c>
      <c r="I745" s="6">
        <v>1.0</v>
      </c>
      <c r="M745" s="16">
        <f t="shared" si="5"/>
        <v>1100</v>
      </c>
      <c r="N745" s="21">
        <f t="shared" si="6"/>
        <v>8</v>
      </c>
    </row>
    <row r="746" ht="13.5" customHeight="1">
      <c r="B746" s="45" t="s">
        <v>2872</v>
      </c>
      <c r="C746" s="3" t="s">
        <v>2877</v>
      </c>
      <c r="D746" s="6">
        <v>1.0</v>
      </c>
      <c r="E746" s="6">
        <v>0.0</v>
      </c>
      <c r="F746" s="6">
        <v>0.0</v>
      </c>
      <c r="G746" s="6">
        <v>1.0</v>
      </c>
      <c r="H746" s="6">
        <v>1100.0</v>
      </c>
      <c r="I746" s="6">
        <v>1.0</v>
      </c>
      <c r="M746" s="16">
        <f t="shared" si="5"/>
        <v>1100</v>
      </c>
      <c r="N746" s="21">
        <f t="shared" si="6"/>
        <v>8</v>
      </c>
    </row>
    <row r="747" ht="13.5" customHeight="1">
      <c r="B747" s="45" t="s">
        <v>2872</v>
      </c>
      <c r="C747" s="3" t="s">
        <v>2878</v>
      </c>
      <c r="D747" s="6">
        <v>1.0</v>
      </c>
      <c r="E747" s="6">
        <v>0.0</v>
      </c>
      <c r="F747" s="6">
        <v>0.0</v>
      </c>
      <c r="G747" s="6">
        <v>1.0</v>
      </c>
      <c r="H747" s="6">
        <v>1100.0</v>
      </c>
      <c r="I747" s="6">
        <v>1.0</v>
      </c>
      <c r="M747" s="16">
        <f t="shared" si="5"/>
        <v>1100</v>
      </c>
      <c r="N747" s="21">
        <f t="shared" si="6"/>
        <v>8</v>
      </c>
    </row>
    <row r="748" ht="13.5" customHeight="1">
      <c r="B748" s="45" t="s">
        <v>2872</v>
      </c>
      <c r="C748" s="3" t="s">
        <v>2879</v>
      </c>
      <c r="D748" s="6">
        <v>1.0</v>
      </c>
      <c r="E748" s="6">
        <v>0.0</v>
      </c>
      <c r="F748" s="6">
        <v>0.0</v>
      </c>
      <c r="G748" s="6">
        <v>1.0</v>
      </c>
      <c r="H748" s="6">
        <v>1100.0</v>
      </c>
      <c r="I748" s="6">
        <v>1.0</v>
      </c>
      <c r="M748" s="16">
        <f t="shared" si="5"/>
        <v>1100</v>
      </c>
      <c r="N748" s="21">
        <f t="shared" si="6"/>
        <v>8</v>
      </c>
    </row>
    <row r="749" ht="13.5" customHeight="1">
      <c r="B749" s="45" t="s">
        <v>2872</v>
      </c>
      <c r="C749" s="3" t="s">
        <v>2880</v>
      </c>
      <c r="D749" s="6">
        <v>1.0</v>
      </c>
      <c r="E749" s="6">
        <v>0.0</v>
      </c>
      <c r="F749" s="6">
        <v>0.0</v>
      </c>
      <c r="G749" s="6">
        <v>1.0</v>
      </c>
      <c r="H749" s="6">
        <v>1100.0</v>
      </c>
      <c r="I749" s="6">
        <v>1.0</v>
      </c>
      <c r="M749" s="16">
        <f t="shared" si="5"/>
        <v>1100</v>
      </c>
      <c r="N749" s="21">
        <f t="shared" si="6"/>
        <v>8</v>
      </c>
    </row>
    <row r="750" ht="13.5" customHeight="1">
      <c r="B750" s="44"/>
      <c r="C750" s="3" t="s">
        <v>2881</v>
      </c>
      <c r="D750" s="6">
        <v>1.0</v>
      </c>
      <c r="E750" s="6">
        <v>1.0</v>
      </c>
      <c r="F750" s="6">
        <v>0.0</v>
      </c>
      <c r="G750" s="6">
        <v>1.0</v>
      </c>
      <c r="H750" s="6">
        <v>2500.0</v>
      </c>
      <c r="I750" s="6">
        <v>1.0</v>
      </c>
      <c r="M750" s="16">
        <f t="shared" si="5"/>
        <v>2500</v>
      </c>
      <c r="N750" s="21">
        <f t="shared" si="6"/>
        <v>4</v>
      </c>
    </row>
    <row r="751" ht="13.5" customHeight="1">
      <c r="B751" s="45" t="s">
        <v>2872</v>
      </c>
      <c r="C751" s="3" t="s">
        <v>2882</v>
      </c>
      <c r="D751" s="6">
        <v>1.0</v>
      </c>
      <c r="E751" s="6">
        <v>0.0</v>
      </c>
      <c r="F751" s="6">
        <v>0.0</v>
      </c>
      <c r="G751" s="6">
        <v>1.0</v>
      </c>
      <c r="H751" s="6">
        <v>2500.0</v>
      </c>
      <c r="I751" s="6">
        <v>1.0</v>
      </c>
      <c r="M751" s="16">
        <f t="shared" si="5"/>
        <v>2500</v>
      </c>
      <c r="N751" s="21">
        <f t="shared" si="6"/>
        <v>4</v>
      </c>
    </row>
    <row r="752" ht="13.5" customHeight="1">
      <c r="B752" s="45" t="s">
        <v>2872</v>
      </c>
      <c r="C752" s="3" t="s">
        <v>2883</v>
      </c>
      <c r="D752" s="6">
        <v>1.0</v>
      </c>
      <c r="E752" s="6">
        <v>0.0</v>
      </c>
      <c r="F752" s="6">
        <v>0.0</v>
      </c>
      <c r="G752" s="6">
        <v>1.0</v>
      </c>
      <c r="H752" s="6">
        <v>2500.0</v>
      </c>
      <c r="I752" s="6">
        <v>1.0</v>
      </c>
      <c r="M752" s="16">
        <f t="shared" si="5"/>
        <v>2500</v>
      </c>
      <c r="N752" s="21">
        <f t="shared" si="6"/>
        <v>4</v>
      </c>
    </row>
    <row r="753" ht="13.5" customHeight="1">
      <c r="B753" s="45" t="s">
        <v>2872</v>
      </c>
      <c r="C753" s="3" t="s">
        <v>2884</v>
      </c>
      <c r="D753" s="6">
        <v>1.0</v>
      </c>
      <c r="E753" s="6">
        <v>0.0</v>
      </c>
      <c r="F753" s="6">
        <v>0.0</v>
      </c>
      <c r="G753" s="6">
        <v>1.0</v>
      </c>
      <c r="H753" s="6">
        <v>2500.0</v>
      </c>
      <c r="I753" s="6">
        <v>1.0</v>
      </c>
      <c r="M753" s="16">
        <f t="shared" si="5"/>
        <v>2500</v>
      </c>
      <c r="N753" s="21">
        <f t="shared" si="6"/>
        <v>4</v>
      </c>
    </row>
    <row r="754" ht="13.5" customHeight="1">
      <c r="B754" s="45" t="s">
        <v>2872</v>
      </c>
      <c r="C754" s="3" t="s">
        <v>2885</v>
      </c>
      <c r="D754" s="6">
        <v>1.0</v>
      </c>
      <c r="E754" s="6">
        <v>0.0</v>
      </c>
      <c r="F754" s="6">
        <v>0.0</v>
      </c>
      <c r="G754" s="6">
        <v>1.0</v>
      </c>
      <c r="H754" s="6">
        <v>2500.0</v>
      </c>
      <c r="I754" s="6">
        <v>1.0</v>
      </c>
      <c r="M754" s="16">
        <f t="shared" si="5"/>
        <v>2500</v>
      </c>
      <c r="N754" s="21">
        <f t="shared" si="6"/>
        <v>4</v>
      </c>
    </row>
    <row r="755" ht="13.5" customHeight="1">
      <c r="B755" s="45" t="s">
        <v>2872</v>
      </c>
      <c r="C755" s="3" t="s">
        <v>2886</v>
      </c>
      <c r="D755" s="6">
        <v>1.0</v>
      </c>
      <c r="E755" s="6">
        <v>0.0</v>
      </c>
      <c r="F755" s="6">
        <v>0.0</v>
      </c>
      <c r="G755" s="6">
        <v>1.0</v>
      </c>
      <c r="H755" s="6">
        <v>2500.0</v>
      </c>
      <c r="I755" s="6">
        <v>1.0</v>
      </c>
      <c r="M755" s="16">
        <f t="shared" si="5"/>
        <v>2500</v>
      </c>
      <c r="N755" s="21">
        <f t="shared" si="6"/>
        <v>4</v>
      </c>
    </row>
    <row r="756" ht="13.5" customHeight="1">
      <c r="B756" s="45" t="s">
        <v>2872</v>
      </c>
      <c r="C756" s="3" t="s">
        <v>2887</v>
      </c>
      <c r="D756" s="6">
        <v>1.0</v>
      </c>
      <c r="E756" s="6">
        <v>0.0</v>
      </c>
      <c r="F756" s="6">
        <v>0.0</v>
      </c>
      <c r="G756" s="6">
        <v>1.0</v>
      </c>
      <c r="H756" s="6">
        <v>2500.0</v>
      </c>
      <c r="I756" s="6">
        <v>1.0</v>
      </c>
      <c r="M756" s="16">
        <f t="shared" si="5"/>
        <v>2500</v>
      </c>
      <c r="N756" s="21">
        <f t="shared" si="6"/>
        <v>4</v>
      </c>
    </row>
    <row r="757" ht="13.5" customHeight="1">
      <c r="B757" s="45" t="s">
        <v>2872</v>
      </c>
      <c r="C757" s="3" t="s">
        <v>2888</v>
      </c>
      <c r="D757" s="6">
        <v>1.0</v>
      </c>
      <c r="E757" s="6">
        <v>0.0</v>
      </c>
      <c r="F757" s="6">
        <v>0.0</v>
      </c>
      <c r="G757" s="6">
        <v>1.0</v>
      </c>
      <c r="H757" s="6">
        <v>2500.0</v>
      </c>
      <c r="I757" s="6">
        <v>1.0</v>
      </c>
      <c r="M757" s="16">
        <f t="shared" si="5"/>
        <v>2500</v>
      </c>
      <c r="N757" s="21">
        <f t="shared" si="6"/>
        <v>4</v>
      </c>
    </row>
    <row r="758" ht="13.5" customHeight="1">
      <c r="B758" s="45" t="s">
        <v>2872</v>
      </c>
      <c r="C758" s="3" t="s">
        <v>2889</v>
      </c>
      <c r="D758" s="6">
        <v>1.0</v>
      </c>
      <c r="E758" s="6">
        <v>0.0</v>
      </c>
      <c r="F758" s="6">
        <v>0.0</v>
      </c>
      <c r="G758" s="6">
        <v>1.0</v>
      </c>
      <c r="H758" s="6">
        <v>2500.0</v>
      </c>
      <c r="I758" s="6">
        <v>1.0</v>
      </c>
      <c r="M758" s="16">
        <f t="shared" si="5"/>
        <v>2500</v>
      </c>
      <c r="N758" s="21">
        <f t="shared" si="6"/>
        <v>4</v>
      </c>
    </row>
    <row r="759" ht="13.5" customHeight="1">
      <c r="B759" s="44"/>
      <c r="C759" s="6" t="s">
        <v>2890</v>
      </c>
      <c r="D759" s="6">
        <v>1.0</v>
      </c>
      <c r="E759" s="6">
        <v>1.0</v>
      </c>
      <c r="F759" s="6">
        <v>0.0</v>
      </c>
      <c r="G759" s="6">
        <v>1.0</v>
      </c>
      <c r="H759" s="6">
        <v>5000.0</v>
      </c>
      <c r="I759" s="6">
        <v>1.0</v>
      </c>
      <c r="M759" s="16">
        <f t="shared" si="5"/>
        <v>5000</v>
      </c>
      <c r="N759" s="21">
        <f t="shared" si="6"/>
        <v>2</v>
      </c>
    </row>
    <row r="760" ht="13.5" customHeight="1">
      <c r="B760" s="45" t="s">
        <v>2872</v>
      </c>
      <c r="C760" s="6" t="s">
        <v>2891</v>
      </c>
      <c r="D760" s="6">
        <v>1.0</v>
      </c>
      <c r="E760" s="6">
        <v>0.0</v>
      </c>
      <c r="F760" s="6">
        <v>0.0</v>
      </c>
      <c r="G760" s="6">
        <v>1.0</v>
      </c>
      <c r="H760" s="6">
        <v>5000.0</v>
      </c>
      <c r="I760" s="6">
        <v>1.0</v>
      </c>
      <c r="M760" s="16">
        <f t="shared" si="5"/>
        <v>5000</v>
      </c>
      <c r="N760" s="21">
        <f t="shared" si="6"/>
        <v>2</v>
      </c>
    </row>
    <row r="761" ht="13.5" customHeight="1">
      <c r="B761" s="45" t="s">
        <v>2872</v>
      </c>
      <c r="C761" s="6" t="s">
        <v>2892</v>
      </c>
      <c r="D761" s="6">
        <v>1.0</v>
      </c>
      <c r="E761" s="6">
        <v>0.0</v>
      </c>
      <c r="F761" s="6">
        <v>0.0</v>
      </c>
      <c r="G761" s="6">
        <v>1.0</v>
      </c>
      <c r="H761" s="6">
        <v>5000.0</v>
      </c>
      <c r="I761" s="6">
        <v>1.0</v>
      </c>
      <c r="M761" s="16">
        <f t="shared" si="5"/>
        <v>5000</v>
      </c>
      <c r="N761" s="21">
        <f t="shared" si="6"/>
        <v>2</v>
      </c>
    </row>
    <row r="762" ht="13.5" customHeight="1">
      <c r="B762" s="45" t="s">
        <v>2872</v>
      </c>
      <c r="C762" s="6" t="s">
        <v>2893</v>
      </c>
      <c r="D762" s="6">
        <v>1.0</v>
      </c>
      <c r="E762" s="6">
        <v>0.0</v>
      </c>
      <c r="F762" s="6">
        <v>0.0</v>
      </c>
      <c r="G762" s="6">
        <v>1.0</v>
      </c>
      <c r="H762" s="6">
        <v>5000.0</v>
      </c>
      <c r="I762" s="6">
        <v>1.0</v>
      </c>
      <c r="M762" s="16">
        <f t="shared" si="5"/>
        <v>5000</v>
      </c>
      <c r="N762" s="21">
        <f t="shared" si="6"/>
        <v>2</v>
      </c>
    </row>
    <row r="763" ht="13.5" customHeight="1">
      <c r="B763" s="45" t="s">
        <v>2872</v>
      </c>
      <c r="C763" s="6" t="s">
        <v>2894</v>
      </c>
      <c r="D763" s="6">
        <v>1.0</v>
      </c>
      <c r="E763" s="6">
        <v>0.0</v>
      </c>
      <c r="F763" s="6">
        <v>0.0</v>
      </c>
      <c r="G763" s="6">
        <v>1.0</v>
      </c>
      <c r="H763" s="6">
        <v>5000.0</v>
      </c>
      <c r="I763" s="6">
        <v>1.0</v>
      </c>
      <c r="M763" s="16">
        <f t="shared" si="5"/>
        <v>5000</v>
      </c>
      <c r="N763" s="21">
        <f t="shared" si="6"/>
        <v>2</v>
      </c>
    </row>
    <row r="764" ht="13.5" customHeight="1">
      <c r="B764" s="44"/>
      <c r="C764" s="3" t="s">
        <v>2895</v>
      </c>
      <c r="D764" s="6">
        <v>1.0</v>
      </c>
      <c r="E764" s="6">
        <v>1.0</v>
      </c>
      <c r="F764" s="6">
        <v>0.0</v>
      </c>
      <c r="G764" s="6">
        <v>1.0</v>
      </c>
      <c r="H764" s="6">
        <v>5000.0</v>
      </c>
      <c r="I764" s="6">
        <v>1.0</v>
      </c>
      <c r="M764" s="16">
        <f t="shared" si="5"/>
        <v>5000</v>
      </c>
      <c r="N764" s="21">
        <f t="shared" si="6"/>
        <v>2</v>
      </c>
    </row>
    <row r="765" ht="13.5" customHeight="1">
      <c r="B765" s="45" t="s">
        <v>2872</v>
      </c>
      <c r="C765" s="3" t="s">
        <v>2896</v>
      </c>
      <c r="D765" s="6">
        <v>1.0</v>
      </c>
      <c r="E765" s="6">
        <v>0.0</v>
      </c>
      <c r="F765" s="6">
        <v>0.0</v>
      </c>
      <c r="G765" s="6">
        <v>1.0</v>
      </c>
      <c r="H765" s="6">
        <v>5000.0</v>
      </c>
      <c r="I765" s="6">
        <v>1.0</v>
      </c>
      <c r="M765" s="16">
        <f t="shared" si="5"/>
        <v>5000</v>
      </c>
      <c r="N765" s="21">
        <f t="shared" si="6"/>
        <v>2</v>
      </c>
    </row>
    <row r="766" ht="13.5" customHeight="1">
      <c r="B766" s="45" t="s">
        <v>2872</v>
      </c>
      <c r="C766" s="3" t="s">
        <v>2897</v>
      </c>
      <c r="D766" s="6">
        <v>1.0</v>
      </c>
      <c r="E766" s="6">
        <v>0.0</v>
      </c>
      <c r="F766" s="6">
        <v>0.0</v>
      </c>
      <c r="G766" s="6">
        <v>1.0</v>
      </c>
      <c r="H766" s="6">
        <v>5000.0</v>
      </c>
      <c r="I766" s="6">
        <v>1.0</v>
      </c>
      <c r="M766" s="16">
        <f t="shared" si="5"/>
        <v>5000</v>
      </c>
      <c r="N766" s="21">
        <f t="shared" si="6"/>
        <v>2</v>
      </c>
    </row>
    <row r="767" ht="13.5" customHeight="1">
      <c r="B767" s="44"/>
      <c r="C767" s="3" t="s">
        <v>2898</v>
      </c>
      <c r="D767" s="6">
        <v>1.0</v>
      </c>
      <c r="E767" s="6">
        <v>1.0</v>
      </c>
      <c r="F767" s="6">
        <v>0.0</v>
      </c>
      <c r="G767" s="6">
        <v>1.0</v>
      </c>
      <c r="H767" s="6">
        <v>8000.0</v>
      </c>
      <c r="I767" s="6">
        <v>1.0</v>
      </c>
      <c r="M767" s="16">
        <f t="shared" si="5"/>
        <v>8000</v>
      </c>
      <c r="N767" s="21">
        <f t="shared" si="6"/>
        <v>1</v>
      </c>
    </row>
    <row r="768" ht="13.5" customHeight="1">
      <c r="B768" s="44"/>
      <c r="C768" s="3" t="s">
        <v>2899</v>
      </c>
      <c r="D768" s="6">
        <v>1.0</v>
      </c>
      <c r="E768" s="6">
        <v>1.0</v>
      </c>
      <c r="F768" s="6">
        <v>0.0</v>
      </c>
      <c r="G768" s="6">
        <v>1.0</v>
      </c>
      <c r="H768" s="6">
        <v>8000.0</v>
      </c>
      <c r="I768" s="6">
        <v>1.0</v>
      </c>
      <c r="M768" s="16">
        <f t="shared" si="5"/>
        <v>8000</v>
      </c>
      <c r="N768" s="21">
        <f t="shared" si="6"/>
        <v>1</v>
      </c>
    </row>
    <row r="769" ht="13.5" customHeight="1">
      <c r="B769" s="44"/>
      <c r="C769" s="3" t="s">
        <v>2900</v>
      </c>
      <c r="D769" s="6">
        <v>1.0</v>
      </c>
      <c r="E769" s="6">
        <v>1.0</v>
      </c>
      <c r="F769" s="6">
        <v>0.0</v>
      </c>
      <c r="G769" s="6">
        <v>1.0</v>
      </c>
      <c r="H769" s="6">
        <v>8000.0</v>
      </c>
      <c r="I769" s="6">
        <v>1.0</v>
      </c>
      <c r="M769" s="16">
        <f t="shared" si="5"/>
        <v>8000</v>
      </c>
      <c r="N769" s="21">
        <f t="shared" si="6"/>
        <v>1</v>
      </c>
    </row>
    <row r="770" ht="13.5" customHeight="1">
      <c r="B770" s="45" t="s">
        <v>2872</v>
      </c>
      <c r="C770" s="3" t="s">
        <v>2901</v>
      </c>
      <c r="D770" s="6">
        <v>1.0</v>
      </c>
      <c r="E770" s="6">
        <v>0.0</v>
      </c>
      <c r="F770" s="6">
        <v>0.0</v>
      </c>
      <c r="G770" s="6">
        <v>1.0</v>
      </c>
      <c r="H770" s="6">
        <v>8000.0</v>
      </c>
      <c r="I770" s="6">
        <v>1.0</v>
      </c>
      <c r="M770" s="16">
        <f t="shared" si="5"/>
        <v>8000</v>
      </c>
      <c r="N770" s="21">
        <f t="shared" si="6"/>
        <v>1</v>
      </c>
    </row>
    <row r="771" ht="13.5" customHeight="1">
      <c r="B771" s="45" t="s">
        <v>2872</v>
      </c>
      <c r="C771" s="3" t="s">
        <v>2902</v>
      </c>
      <c r="D771" s="6">
        <v>1.0</v>
      </c>
      <c r="E771" s="6">
        <v>0.0</v>
      </c>
      <c r="F771" s="6">
        <v>0.0</v>
      </c>
      <c r="G771" s="6">
        <v>1.0</v>
      </c>
      <c r="H771" s="6">
        <v>8000.0</v>
      </c>
      <c r="I771" s="6">
        <v>1.0</v>
      </c>
      <c r="M771" s="16">
        <f t="shared" si="5"/>
        <v>8000</v>
      </c>
      <c r="N771" s="21">
        <f t="shared" si="6"/>
        <v>1</v>
      </c>
    </row>
    <row r="772" ht="13.5" customHeight="1">
      <c r="B772" s="45" t="s">
        <v>2872</v>
      </c>
      <c r="C772" s="3" t="s">
        <v>2903</v>
      </c>
      <c r="D772" s="6">
        <v>1.0</v>
      </c>
      <c r="E772" s="6">
        <v>0.0</v>
      </c>
      <c r="F772" s="6">
        <v>0.0</v>
      </c>
      <c r="G772" s="6">
        <v>1.0</v>
      </c>
      <c r="H772" s="6">
        <v>8000.0</v>
      </c>
      <c r="I772" s="6">
        <v>1.0</v>
      </c>
      <c r="M772" s="16">
        <f t="shared" si="5"/>
        <v>8000</v>
      </c>
      <c r="N772" s="21">
        <f t="shared" si="6"/>
        <v>1</v>
      </c>
    </row>
    <row r="773" ht="13.5" customHeight="1">
      <c r="B773" s="45" t="s">
        <v>2872</v>
      </c>
      <c r="C773" s="3" t="s">
        <v>2904</v>
      </c>
      <c r="D773" s="6">
        <v>1.0</v>
      </c>
      <c r="E773" s="6">
        <v>0.0</v>
      </c>
      <c r="F773" s="6">
        <v>0.0</v>
      </c>
      <c r="G773" s="6">
        <v>1.0</v>
      </c>
      <c r="H773" s="6">
        <v>8000.0</v>
      </c>
      <c r="I773" s="6">
        <v>1.0</v>
      </c>
      <c r="M773" s="16">
        <f t="shared" si="5"/>
        <v>8000</v>
      </c>
      <c r="N773" s="21">
        <f t="shared" si="6"/>
        <v>1</v>
      </c>
    </row>
    <row r="774" ht="13.5" customHeight="1">
      <c r="B774" s="45" t="s">
        <v>2872</v>
      </c>
      <c r="C774" s="3" t="s">
        <v>2905</v>
      </c>
      <c r="D774" s="6">
        <v>1.0</v>
      </c>
      <c r="E774" s="6">
        <v>0.0</v>
      </c>
      <c r="F774" s="6">
        <v>0.0</v>
      </c>
      <c r="G774" s="6">
        <v>1.0</v>
      </c>
      <c r="H774" s="6">
        <v>8000.0</v>
      </c>
      <c r="I774" s="6">
        <v>1.0</v>
      </c>
      <c r="M774" s="16">
        <f t="shared" si="5"/>
        <v>8000</v>
      </c>
      <c r="N774" s="21">
        <f t="shared" si="6"/>
        <v>1</v>
      </c>
    </row>
    <row r="775" ht="13.5" customHeight="1">
      <c r="B775" s="45" t="s">
        <v>2872</v>
      </c>
      <c r="C775" s="3" t="s">
        <v>2906</v>
      </c>
      <c r="D775" s="6">
        <v>1.0</v>
      </c>
      <c r="E775" s="6">
        <v>0.0</v>
      </c>
      <c r="F775" s="6">
        <v>0.0</v>
      </c>
      <c r="G775" s="6">
        <v>1.0</v>
      </c>
      <c r="H775" s="6">
        <v>8000.0</v>
      </c>
      <c r="I775" s="6">
        <v>1.0</v>
      </c>
      <c r="M775" s="16">
        <f t="shared" si="5"/>
        <v>8000</v>
      </c>
      <c r="N775" s="21">
        <f t="shared" si="6"/>
        <v>1</v>
      </c>
    </row>
    <row r="776" ht="13.5" customHeight="1">
      <c r="B776" s="45" t="s">
        <v>2872</v>
      </c>
      <c r="C776" s="3" t="s">
        <v>2907</v>
      </c>
      <c r="D776" s="6">
        <v>1.0</v>
      </c>
      <c r="E776" s="6">
        <v>0.0</v>
      </c>
      <c r="F776" s="6">
        <v>0.0</v>
      </c>
      <c r="G776" s="6">
        <v>1.0</v>
      </c>
      <c r="H776" s="6">
        <v>8000.0</v>
      </c>
      <c r="I776" s="6">
        <v>1.0</v>
      </c>
      <c r="M776" s="16">
        <f t="shared" si="5"/>
        <v>8000</v>
      </c>
      <c r="N776" s="21">
        <f t="shared" si="6"/>
        <v>1</v>
      </c>
    </row>
    <row r="777" ht="13.5" customHeight="1">
      <c r="B777" s="45" t="s">
        <v>2872</v>
      </c>
      <c r="C777" s="3" t="s">
        <v>2908</v>
      </c>
      <c r="D777" s="6">
        <v>1.0</v>
      </c>
      <c r="E777" s="6">
        <v>0.0</v>
      </c>
      <c r="F777" s="6">
        <v>0.0</v>
      </c>
      <c r="G777" s="6">
        <v>1.0</v>
      </c>
      <c r="H777" s="6">
        <v>8000.0</v>
      </c>
      <c r="I777" s="6">
        <v>1.0</v>
      </c>
      <c r="M777" s="16">
        <f t="shared" si="5"/>
        <v>8000</v>
      </c>
      <c r="N777" s="21">
        <f t="shared" si="6"/>
        <v>1</v>
      </c>
    </row>
    <row r="778" ht="13.5" customHeight="1">
      <c r="B778" s="45" t="s">
        <v>2872</v>
      </c>
      <c r="C778" s="3" t="s">
        <v>2909</v>
      </c>
      <c r="D778" s="6">
        <v>1.0</v>
      </c>
      <c r="E778" s="6">
        <v>0.0</v>
      </c>
      <c r="F778" s="6">
        <v>0.0</v>
      </c>
      <c r="G778" s="6">
        <v>1.0</v>
      </c>
      <c r="H778" s="6">
        <v>8000.0</v>
      </c>
      <c r="I778" s="6">
        <v>1.0</v>
      </c>
      <c r="M778" s="16">
        <f t="shared" si="5"/>
        <v>8000</v>
      </c>
      <c r="N778" s="21">
        <f t="shared" si="6"/>
        <v>1</v>
      </c>
    </row>
    <row r="779" ht="13.5" customHeight="1">
      <c r="B779" s="44"/>
      <c r="C779" s="3" t="s">
        <v>2910</v>
      </c>
      <c r="D779" s="6">
        <v>1.0</v>
      </c>
      <c r="E779" s="6">
        <v>1.0</v>
      </c>
      <c r="F779" s="6">
        <v>0.0</v>
      </c>
      <c r="G779" s="6">
        <v>1.0</v>
      </c>
      <c r="H779" s="6">
        <v>12000.0</v>
      </c>
      <c r="I779" s="6">
        <v>1.0</v>
      </c>
      <c r="M779" s="16">
        <f t="shared" si="5"/>
        <v>12000</v>
      </c>
      <c r="N779" s="21">
        <f t="shared" si="6"/>
        <v>1</v>
      </c>
    </row>
    <row r="780" ht="13.5" customHeight="1">
      <c r="B780" s="45" t="s">
        <v>2872</v>
      </c>
      <c r="C780" s="3" t="s">
        <v>2911</v>
      </c>
      <c r="D780" s="6">
        <v>1.0</v>
      </c>
      <c r="E780" s="6">
        <v>0.0</v>
      </c>
      <c r="F780" s="6">
        <v>0.0</v>
      </c>
      <c r="G780" s="6">
        <v>1.0</v>
      </c>
      <c r="H780" s="6">
        <v>12000.0</v>
      </c>
      <c r="I780" s="6">
        <v>1.0</v>
      </c>
      <c r="M780" s="16">
        <f t="shared" si="5"/>
        <v>12000</v>
      </c>
      <c r="N780" s="21">
        <f t="shared" si="6"/>
        <v>1</v>
      </c>
    </row>
    <row r="781" ht="13.5" customHeight="1">
      <c r="B781" s="45" t="s">
        <v>2872</v>
      </c>
      <c r="C781" s="3" t="s">
        <v>2912</v>
      </c>
      <c r="D781" s="6">
        <v>1.0</v>
      </c>
      <c r="E781" s="6">
        <v>0.0</v>
      </c>
      <c r="F781" s="6">
        <v>0.0</v>
      </c>
      <c r="G781" s="6">
        <v>1.0</v>
      </c>
      <c r="H781" s="6">
        <v>12000.0</v>
      </c>
      <c r="I781" s="6">
        <v>1.0</v>
      </c>
      <c r="M781" s="16">
        <f t="shared" si="5"/>
        <v>12000</v>
      </c>
      <c r="N781" s="21">
        <f t="shared" si="6"/>
        <v>1</v>
      </c>
    </row>
    <row r="782" ht="13.5" customHeight="1">
      <c r="B782" s="45" t="s">
        <v>2872</v>
      </c>
      <c r="C782" s="3" t="s">
        <v>2914</v>
      </c>
      <c r="D782" s="6">
        <v>1.0</v>
      </c>
      <c r="E782" s="6">
        <v>0.0</v>
      </c>
      <c r="F782" s="6">
        <v>0.0</v>
      </c>
      <c r="G782" s="6">
        <v>1.0</v>
      </c>
      <c r="H782" s="6">
        <v>12000.0</v>
      </c>
      <c r="I782" s="6">
        <v>1.0</v>
      </c>
      <c r="M782" s="16">
        <f t="shared" si="5"/>
        <v>12000</v>
      </c>
      <c r="N782" s="21">
        <f t="shared" si="6"/>
        <v>1</v>
      </c>
    </row>
    <row r="783" ht="13.5" customHeight="1">
      <c r="B783" s="45" t="s">
        <v>2872</v>
      </c>
      <c r="C783" s="3" t="s">
        <v>2917</v>
      </c>
      <c r="D783" s="6">
        <v>1.0</v>
      </c>
      <c r="E783" s="6">
        <v>0.0</v>
      </c>
      <c r="F783" s="6">
        <v>0.0</v>
      </c>
      <c r="G783" s="6">
        <v>1.0</v>
      </c>
      <c r="H783" s="6">
        <v>12000.0</v>
      </c>
      <c r="I783" s="6">
        <v>1.0</v>
      </c>
      <c r="M783" s="16">
        <f t="shared" si="5"/>
        <v>12000</v>
      </c>
      <c r="N783" s="21">
        <f t="shared" si="6"/>
        <v>1</v>
      </c>
    </row>
    <row r="784" ht="13.5" customHeight="1">
      <c r="B784" s="45" t="s">
        <v>2872</v>
      </c>
      <c r="C784" s="3" t="s">
        <v>2920</v>
      </c>
      <c r="D784" s="6">
        <v>1.0</v>
      </c>
      <c r="E784" s="6">
        <v>0.0</v>
      </c>
      <c r="F784" s="6">
        <v>0.0</v>
      </c>
      <c r="G784" s="6">
        <v>1.0</v>
      </c>
      <c r="H784" s="6">
        <v>12000.0</v>
      </c>
      <c r="I784" s="6">
        <v>1.0</v>
      </c>
      <c r="M784" s="16">
        <f t="shared" si="5"/>
        <v>12000</v>
      </c>
      <c r="N784" s="21">
        <f t="shared" si="6"/>
        <v>1</v>
      </c>
    </row>
    <row r="785" ht="13.5" customHeight="1">
      <c r="B785" s="44"/>
      <c r="C785" s="6" t="s">
        <v>2923</v>
      </c>
      <c r="D785" s="6">
        <v>1.0</v>
      </c>
      <c r="E785" s="6">
        <v>1.0</v>
      </c>
      <c r="F785" s="6">
        <v>0.0</v>
      </c>
      <c r="G785" s="6">
        <v>1.0</v>
      </c>
      <c r="H785" s="6">
        <v>20000.0</v>
      </c>
      <c r="I785" s="6">
        <v>1.0</v>
      </c>
      <c r="M785" s="16">
        <f t="shared" si="5"/>
        <v>20000</v>
      </c>
      <c r="N785" s="21">
        <f t="shared" si="6"/>
        <v>0</v>
      </c>
    </row>
    <row r="786" ht="13.5" customHeight="1">
      <c r="B786" s="45" t="s">
        <v>2872</v>
      </c>
      <c r="C786" s="6" t="s">
        <v>2925</v>
      </c>
      <c r="D786" s="6">
        <v>1.0</v>
      </c>
      <c r="E786" s="6">
        <v>0.0</v>
      </c>
      <c r="F786" s="6">
        <v>0.0</v>
      </c>
      <c r="G786" s="6">
        <v>1.0</v>
      </c>
      <c r="H786" s="6">
        <v>20000.0</v>
      </c>
      <c r="I786" s="6">
        <v>1.0</v>
      </c>
      <c r="M786" s="16">
        <f t="shared" si="5"/>
        <v>20000</v>
      </c>
      <c r="N786" s="21">
        <f t="shared" si="6"/>
        <v>0</v>
      </c>
    </row>
    <row r="787" ht="13.5" customHeight="1">
      <c r="B787" s="45" t="s">
        <v>2872</v>
      </c>
      <c r="C787" s="6" t="s">
        <v>2930</v>
      </c>
      <c r="D787" s="6">
        <v>1.0</v>
      </c>
      <c r="E787" s="6">
        <v>0.0</v>
      </c>
      <c r="F787" s="6">
        <v>0.0</v>
      </c>
      <c r="G787" s="6">
        <v>1.0</v>
      </c>
      <c r="H787" s="6">
        <v>20000.0</v>
      </c>
      <c r="I787" s="6">
        <v>1.0</v>
      </c>
      <c r="M787" s="16">
        <f t="shared" si="5"/>
        <v>20000</v>
      </c>
      <c r="N787" s="21">
        <f t="shared" si="6"/>
        <v>0</v>
      </c>
    </row>
    <row r="788" ht="13.5" customHeight="1">
      <c r="B788" s="45" t="s">
        <v>2872</v>
      </c>
      <c r="C788" s="6" t="s">
        <v>2931</v>
      </c>
      <c r="D788" s="6">
        <v>1.0</v>
      </c>
      <c r="E788" s="6">
        <v>0.0</v>
      </c>
      <c r="F788" s="6">
        <v>0.0</v>
      </c>
      <c r="G788" s="6">
        <v>1.0</v>
      </c>
      <c r="H788" s="6">
        <v>20000.0</v>
      </c>
      <c r="I788" s="6">
        <v>1.0</v>
      </c>
      <c r="M788" s="16">
        <f t="shared" si="5"/>
        <v>20000</v>
      </c>
      <c r="N788" s="21">
        <f t="shared" si="6"/>
        <v>0</v>
      </c>
    </row>
    <row r="789" ht="13.5" customHeight="1">
      <c r="B789" s="44"/>
      <c r="C789" s="6" t="s">
        <v>2933</v>
      </c>
      <c r="D789" s="6">
        <v>1.0</v>
      </c>
      <c r="E789" s="6">
        <v>1.0</v>
      </c>
      <c r="F789" s="6">
        <v>0.0</v>
      </c>
      <c r="G789" s="6">
        <v>1.0</v>
      </c>
      <c r="H789" s="6">
        <v>24000.0</v>
      </c>
      <c r="I789" s="6">
        <v>1.0</v>
      </c>
      <c r="M789" s="16">
        <f t="shared" si="5"/>
        <v>24000</v>
      </c>
      <c r="N789" s="21">
        <f t="shared" si="6"/>
        <v>0</v>
      </c>
    </row>
    <row r="790" ht="13.5" customHeight="1">
      <c r="B790" s="44"/>
      <c r="C790" s="3" t="s">
        <v>2934</v>
      </c>
      <c r="D790" s="6">
        <v>1.0</v>
      </c>
      <c r="E790" s="6">
        <v>1.0</v>
      </c>
      <c r="F790" s="6">
        <v>0.0</v>
      </c>
      <c r="G790" s="6">
        <v>1.0</v>
      </c>
      <c r="H790" s="6">
        <v>15000.0</v>
      </c>
      <c r="I790" s="6">
        <v>1.0</v>
      </c>
      <c r="M790" s="16">
        <f t="shared" si="5"/>
        <v>15000</v>
      </c>
      <c r="N790" s="21">
        <f t="shared" si="6"/>
        <v>1</v>
      </c>
    </row>
    <row r="791" ht="13.5" customHeight="1">
      <c r="B791" s="44"/>
      <c r="C791" s="3" t="s">
        <v>2935</v>
      </c>
      <c r="D791" s="6">
        <v>1.0</v>
      </c>
      <c r="E791" s="6">
        <v>1.0</v>
      </c>
      <c r="F791" s="6">
        <v>0.0</v>
      </c>
      <c r="G791" s="6">
        <v>1.0</v>
      </c>
      <c r="H791" s="6">
        <v>15000.0</v>
      </c>
      <c r="I791" s="6">
        <v>1.0</v>
      </c>
      <c r="M791" s="16">
        <f t="shared" si="5"/>
        <v>15000</v>
      </c>
      <c r="N791" s="21">
        <f t="shared" si="6"/>
        <v>1</v>
      </c>
    </row>
    <row r="792" ht="13.5" customHeight="1">
      <c r="B792" s="44"/>
      <c r="C792" s="3" t="s">
        <v>2937</v>
      </c>
      <c r="D792" s="6">
        <v>1.0</v>
      </c>
      <c r="E792" s="6">
        <v>1.0</v>
      </c>
      <c r="F792" s="6">
        <v>0.0</v>
      </c>
      <c r="G792" s="6">
        <v>1.0</v>
      </c>
      <c r="H792" s="6">
        <v>15000.0</v>
      </c>
      <c r="I792" s="6">
        <v>1.0</v>
      </c>
      <c r="M792" s="16">
        <f t="shared" si="5"/>
        <v>15000</v>
      </c>
      <c r="N792" s="21">
        <f t="shared" si="6"/>
        <v>1</v>
      </c>
    </row>
    <row r="793" ht="13.5" customHeight="1">
      <c r="B793" s="45" t="s">
        <v>2872</v>
      </c>
      <c r="C793" s="3" t="s">
        <v>2938</v>
      </c>
      <c r="D793" s="6">
        <v>1.0</v>
      </c>
      <c r="E793" s="6">
        <v>0.0</v>
      </c>
      <c r="F793" s="6">
        <v>0.0</v>
      </c>
      <c r="G793" s="6">
        <v>1.0</v>
      </c>
      <c r="H793" s="6">
        <v>15000.0</v>
      </c>
      <c r="I793" s="6">
        <v>1.0</v>
      </c>
      <c r="M793" s="16">
        <f t="shared" si="5"/>
        <v>15000</v>
      </c>
      <c r="N793" s="21">
        <f t="shared" si="6"/>
        <v>1</v>
      </c>
    </row>
    <row r="794" ht="13.5" customHeight="1">
      <c r="B794" s="45" t="s">
        <v>2872</v>
      </c>
      <c r="C794" s="3" t="s">
        <v>2940</v>
      </c>
      <c r="D794" s="6">
        <v>1.0</v>
      </c>
      <c r="E794" s="6">
        <v>0.0</v>
      </c>
      <c r="F794" s="6">
        <v>0.0</v>
      </c>
      <c r="G794" s="6">
        <v>1.0</v>
      </c>
      <c r="H794" s="6">
        <v>15000.0</v>
      </c>
      <c r="I794" s="6">
        <v>1.0</v>
      </c>
      <c r="M794" s="16">
        <f t="shared" si="5"/>
        <v>15000</v>
      </c>
      <c r="N794" s="21">
        <f t="shared" si="6"/>
        <v>1</v>
      </c>
    </row>
    <row r="795" ht="13.5" customHeight="1">
      <c r="B795" s="45" t="s">
        <v>2872</v>
      </c>
      <c r="C795" s="3" t="s">
        <v>2943</v>
      </c>
      <c r="D795" s="6">
        <v>1.0</v>
      </c>
      <c r="E795" s="6">
        <v>0.0</v>
      </c>
      <c r="F795" s="6">
        <v>0.0</v>
      </c>
      <c r="G795" s="6">
        <v>1.0</v>
      </c>
      <c r="H795" s="6">
        <v>15000.0</v>
      </c>
      <c r="I795" s="6">
        <v>1.0</v>
      </c>
      <c r="M795" s="16">
        <f t="shared" si="5"/>
        <v>15000</v>
      </c>
      <c r="N795" s="21">
        <f t="shared" si="6"/>
        <v>1</v>
      </c>
    </row>
    <row r="796" ht="13.5" customHeight="1">
      <c r="B796" s="45" t="s">
        <v>2872</v>
      </c>
      <c r="C796" s="3" t="s">
        <v>2946</v>
      </c>
      <c r="D796" s="6">
        <v>1.0</v>
      </c>
      <c r="E796" s="6">
        <v>0.0</v>
      </c>
      <c r="F796" s="6">
        <v>0.0</v>
      </c>
      <c r="G796" s="6">
        <v>1.0</v>
      </c>
      <c r="H796" s="6">
        <v>15000.0</v>
      </c>
      <c r="I796" s="6">
        <v>1.0</v>
      </c>
      <c r="M796" s="16">
        <f t="shared" si="5"/>
        <v>15000</v>
      </c>
      <c r="N796" s="21">
        <f t="shared" si="6"/>
        <v>1</v>
      </c>
    </row>
    <row r="797" ht="13.5" customHeight="1">
      <c r="B797" s="45" t="s">
        <v>2872</v>
      </c>
      <c r="C797" s="3" t="s">
        <v>2949</v>
      </c>
      <c r="D797" s="6">
        <v>1.0</v>
      </c>
      <c r="E797" s="6">
        <v>0.0</v>
      </c>
      <c r="F797" s="6">
        <v>0.0</v>
      </c>
      <c r="G797" s="6">
        <v>1.0</v>
      </c>
      <c r="H797" s="6">
        <v>15000.0</v>
      </c>
      <c r="I797" s="6">
        <v>1.0</v>
      </c>
      <c r="M797" s="16">
        <f t="shared" si="5"/>
        <v>15000</v>
      </c>
      <c r="N797" s="21">
        <f t="shared" si="6"/>
        <v>1</v>
      </c>
    </row>
    <row r="798" ht="13.5" customHeight="1">
      <c r="B798" s="45" t="s">
        <v>2872</v>
      </c>
      <c r="C798" s="3" t="s">
        <v>2953</v>
      </c>
      <c r="D798" s="6">
        <v>1.0</v>
      </c>
      <c r="E798" s="6">
        <v>0.0</v>
      </c>
      <c r="F798" s="6">
        <v>0.0</v>
      </c>
      <c r="G798" s="6">
        <v>1.0</v>
      </c>
      <c r="H798" s="6">
        <v>15000.0</v>
      </c>
      <c r="I798" s="6">
        <v>1.0</v>
      </c>
      <c r="M798" s="16">
        <f t="shared" si="5"/>
        <v>15000</v>
      </c>
      <c r="N798" s="21">
        <f t="shared" si="6"/>
        <v>1</v>
      </c>
    </row>
    <row r="799" ht="13.5" customHeight="1">
      <c r="B799" s="45" t="s">
        <v>2872</v>
      </c>
      <c r="C799" s="3" t="s">
        <v>2955</v>
      </c>
      <c r="D799" s="6">
        <v>1.0</v>
      </c>
      <c r="E799" s="6">
        <v>0.0</v>
      </c>
      <c r="F799" s="6">
        <v>0.0</v>
      </c>
      <c r="G799" s="6">
        <v>1.0</v>
      </c>
      <c r="H799" s="6">
        <v>15000.0</v>
      </c>
      <c r="I799" s="6">
        <v>1.0</v>
      </c>
      <c r="M799" s="16">
        <f t="shared" si="5"/>
        <v>15000</v>
      </c>
      <c r="N799" s="21">
        <f t="shared" si="6"/>
        <v>1</v>
      </c>
    </row>
    <row r="800" ht="13.5" customHeight="1">
      <c r="B800" s="45" t="s">
        <v>2872</v>
      </c>
      <c r="C800" s="3" t="s">
        <v>2957</v>
      </c>
      <c r="D800" s="6">
        <v>1.0</v>
      </c>
      <c r="E800" s="6">
        <v>0.0</v>
      </c>
      <c r="F800" s="6">
        <v>0.0</v>
      </c>
      <c r="G800" s="6">
        <v>1.0</v>
      </c>
      <c r="H800" s="6">
        <v>15000.0</v>
      </c>
      <c r="I800" s="6">
        <v>1.0</v>
      </c>
      <c r="M800" s="16">
        <f t="shared" si="5"/>
        <v>15000</v>
      </c>
      <c r="N800" s="21">
        <f t="shared" si="6"/>
        <v>1</v>
      </c>
    </row>
    <row r="801" ht="13.5" customHeight="1">
      <c r="B801" s="45" t="s">
        <v>2872</v>
      </c>
      <c r="C801" s="3" t="s">
        <v>2959</v>
      </c>
      <c r="D801" s="6">
        <v>1.0</v>
      </c>
      <c r="E801" s="6">
        <v>0.0</v>
      </c>
      <c r="F801" s="6">
        <v>0.0</v>
      </c>
      <c r="G801" s="6">
        <v>1.0</v>
      </c>
      <c r="H801" s="6">
        <v>15000.0</v>
      </c>
      <c r="I801" s="6">
        <v>1.0</v>
      </c>
      <c r="M801" s="16">
        <f t="shared" si="5"/>
        <v>15000</v>
      </c>
      <c r="N801" s="21">
        <f t="shared" si="6"/>
        <v>1</v>
      </c>
    </row>
    <row r="802" ht="13.5" customHeight="1">
      <c r="B802" s="45" t="s">
        <v>2872</v>
      </c>
      <c r="C802" s="3" t="s">
        <v>2962</v>
      </c>
      <c r="D802" s="6">
        <v>1.0</v>
      </c>
      <c r="E802" s="6">
        <v>0.0</v>
      </c>
      <c r="F802" s="6">
        <v>0.0</v>
      </c>
      <c r="G802" s="6">
        <v>1.0</v>
      </c>
      <c r="H802" s="6">
        <v>15000.0</v>
      </c>
      <c r="I802" s="6">
        <v>1.0</v>
      </c>
      <c r="M802" s="16">
        <f t="shared" si="5"/>
        <v>15000</v>
      </c>
      <c r="N802" s="21">
        <f t="shared" si="6"/>
        <v>1</v>
      </c>
    </row>
    <row r="803" ht="13.5" customHeight="1">
      <c r="B803" s="45" t="s">
        <v>2872</v>
      </c>
      <c r="C803" s="3" t="s">
        <v>2965</v>
      </c>
      <c r="D803" s="6">
        <v>1.0</v>
      </c>
      <c r="E803" s="6">
        <v>0.0</v>
      </c>
      <c r="F803" s="6">
        <v>0.0</v>
      </c>
      <c r="G803" s="6">
        <v>1.0</v>
      </c>
      <c r="H803" s="6">
        <v>15000.0</v>
      </c>
      <c r="I803" s="6">
        <v>1.0</v>
      </c>
      <c r="M803" s="16">
        <f t="shared" si="5"/>
        <v>15000</v>
      </c>
      <c r="N803" s="21">
        <f t="shared" si="6"/>
        <v>1</v>
      </c>
    </row>
    <row r="804" ht="13.5" customHeight="1">
      <c r="B804" s="45" t="s">
        <v>2872</v>
      </c>
      <c r="C804" s="3" t="s">
        <v>2968</v>
      </c>
      <c r="D804" s="6">
        <v>1.0</v>
      </c>
      <c r="E804" s="6">
        <v>0.0</v>
      </c>
      <c r="F804" s="6">
        <v>0.0</v>
      </c>
      <c r="G804" s="6">
        <v>1.0</v>
      </c>
      <c r="H804" s="6">
        <v>15000.0</v>
      </c>
      <c r="I804" s="6">
        <v>1.0</v>
      </c>
      <c r="M804" s="16">
        <f t="shared" si="5"/>
        <v>15000</v>
      </c>
      <c r="N804" s="21">
        <f t="shared" si="6"/>
        <v>1</v>
      </c>
    </row>
    <row r="805" ht="13.5" customHeight="1">
      <c r="B805" s="45" t="s">
        <v>2872</v>
      </c>
      <c r="C805" s="3" t="s">
        <v>2971</v>
      </c>
      <c r="D805" s="6">
        <v>1.0</v>
      </c>
      <c r="E805" s="6">
        <v>0.0</v>
      </c>
      <c r="F805" s="6">
        <v>0.0</v>
      </c>
      <c r="G805" s="6">
        <v>1.0</v>
      </c>
      <c r="H805" s="6">
        <v>15000.0</v>
      </c>
      <c r="I805" s="6">
        <v>1.0</v>
      </c>
      <c r="M805" s="16">
        <f t="shared" si="5"/>
        <v>15000</v>
      </c>
      <c r="N805" s="21">
        <f t="shared" si="6"/>
        <v>1</v>
      </c>
    </row>
    <row r="806" ht="13.5" customHeight="1">
      <c r="B806" s="45" t="s">
        <v>2872</v>
      </c>
      <c r="C806" s="3" t="s">
        <v>2974</v>
      </c>
      <c r="D806" s="6">
        <v>1.0</v>
      </c>
      <c r="E806" s="6">
        <v>0.0</v>
      </c>
      <c r="F806" s="6">
        <v>0.0</v>
      </c>
      <c r="G806" s="6">
        <v>1.0</v>
      </c>
      <c r="H806" s="6">
        <v>15000.0</v>
      </c>
      <c r="I806" s="6">
        <v>1.0</v>
      </c>
      <c r="M806" s="16">
        <f t="shared" si="5"/>
        <v>15000</v>
      </c>
      <c r="N806" s="21">
        <f t="shared" si="6"/>
        <v>1</v>
      </c>
    </row>
    <row r="807" ht="13.5" customHeight="1">
      <c r="B807" s="45" t="s">
        <v>2872</v>
      </c>
      <c r="C807" s="3" t="s">
        <v>2977</v>
      </c>
      <c r="D807" s="6">
        <v>1.0</v>
      </c>
      <c r="E807" s="6">
        <v>0.0</v>
      </c>
      <c r="F807" s="6">
        <v>0.0</v>
      </c>
      <c r="G807" s="6">
        <v>1.0</v>
      </c>
      <c r="H807" s="6">
        <v>15000.0</v>
      </c>
      <c r="I807" s="6">
        <v>1.0</v>
      </c>
      <c r="M807" s="16">
        <f t="shared" si="5"/>
        <v>15000</v>
      </c>
      <c r="N807" s="21">
        <f t="shared" si="6"/>
        <v>1</v>
      </c>
    </row>
    <row r="808" ht="13.5" customHeight="1">
      <c r="B808" s="45" t="s">
        <v>2872</v>
      </c>
      <c r="C808" s="3" t="s">
        <v>2980</v>
      </c>
      <c r="D808" s="6">
        <v>1.0</v>
      </c>
      <c r="E808" s="6">
        <v>0.0</v>
      </c>
      <c r="F808" s="6">
        <v>0.0</v>
      </c>
      <c r="G808" s="6">
        <v>1.0</v>
      </c>
      <c r="H808" s="6">
        <v>15000.0</v>
      </c>
      <c r="I808" s="6">
        <v>1.0</v>
      </c>
      <c r="M808" s="16">
        <f t="shared" si="5"/>
        <v>15000</v>
      </c>
      <c r="N808" s="21">
        <f t="shared" si="6"/>
        <v>1</v>
      </c>
    </row>
    <row r="809" ht="13.5" customHeight="1">
      <c r="B809" s="45" t="s">
        <v>2872</v>
      </c>
      <c r="C809" s="3" t="s">
        <v>2983</v>
      </c>
      <c r="D809" s="6">
        <v>1.0</v>
      </c>
      <c r="E809" s="6">
        <v>0.0</v>
      </c>
      <c r="F809" s="6">
        <v>0.0</v>
      </c>
      <c r="G809" s="6">
        <v>1.0</v>
      </c>
      <c r="H809" s="6">
        <v>15000.0</v>
      </c>
      <c r="I809" s="6">
        <v>1.0</v>
      </c>
      <c r="M809" s="16">
        <f t="shared" si="5"/>
        <v>15000</v>
      </c>
      <c r="N809" s="21">
        <f t="shared" si="6"/>
        <v>1</v>
      </c>
    </row>
    <row r="810" ht="13.5" customHeight="1">
      <c r="B810" s="45" t="s">
        <v>2872</v>
      </c>
      <c r="C810" s="3" t="s">
        <v>2985</v>
      </c>
      <c r="D810" s="6">
        <v>1.0</v>
      </c>
      <c r="E810" s="6">
        <v>0.0</v>
      </c>
      <c r="F810" s="6">
        <v>0.0</v>
      </c>
      <c r="G810" s="6">
        <v>1.0</v>
      </c>
      <c r="H810" s="6">
        <v>15000.0</v>
      </c>
      <c r="I810" s="6">
        <v>1.0</v>
      </c>
      <c r="M810" s="16">
        <f t="shared" si="5"/>
        <v>15000</v>
      </c>
      <c r="N810" s="21">
        <f t="shared" si="6"/>
        <v>1</v>
      </c>
    </row>
    <row r="811" ht="13.5" customHeight="1">
      <c r="A811" s="44"/>
      <c r="B811" s="2"/>
      <c r="C811" s="6" t="s">
        <v>2988</v>
      </c>
      <c r="D811" s="6">
        <v>1.0</v>
      </c>
      <c r="E811" s="6">
        <v>1.0</v>
      </c>
      <c r="F811" s="6">
        <v>0.0</v>
      </c>
      <c r="G811" s="6">
        <v>1.0</v>
      </c>
      <c r="H811" s="6">
        <v>22000.0</v>
      </c>
      <c r="I811" s="6">
        <v>1.0</v>
      </c>
      <c r="M811" s="16">
        <f t="shared" si="5"/>
        <v>22000</v>
      </c>
      <c r="N811" s="21">
        <f t="shared" si="6"/>
        <v>0</v>
      </c>
    </row>
    <row r="812" ht="13.5" customHeight="1">
      <c r="B812" s="45" t="s">
        <v>2872</v>
      </c>
      <c r="C812" s="6" t="s">
        <v>2990</v>
      </c>
      <c r="D812" s="6">
        <v>1.0</v>
      </c>
      <c r="E812" s="6">
        <v>0.0</v>
      </c>
      <c r="F812" s="6">
        <v>0.0</v>
      </c>
      <c r="G812" s="6">
        <v>1.0</v>
      </c>
      <c r="H812" s="6">
        <v>22000.0</v>
      </c>
      <c r="I812" s="6">
        <v>1.0</v>
      </c>
      <c r="M812" s="16">
        <f t="shared" si="5"/>
        <v>22000</v>
      </c>
      <c r="N812" s="21">
        <f t="shared" si="6"/>
        <v>0</v>
      </c>
    </row>
    <row r="813" ht="13.5" customHeight="1">
      <c r="B813" s="45" t="s">
        <v>2872</v>
      </c>
      <c r="C813" s="6" t="s">
        <v>2992</v>
      </c>
      <c r="D813" s="6">
        <v>1.0</v>
      </c>
      <c r="E813" s="6">
        <v>0.0</v>
      </c>
      <c r="F813" s="6">
        <v>0.0</v>
      </c>
      <c r="G813" s="6">
        <v>1.0</v>
      </c>
      <c r="H813" s="6">
        <v>22000.0</v>
      </c>
      <c r="I813" s="6">
        <v>1.0</v>
      </c>
      <c r="M813" s="16">
        <f t="shared" si="5"/>
        <v>22000</v>
      </c>
      <c r="N813" s="21">
        <f t="shared" si="6"/>
        <v>0</v>
      </c>
    </row>
    <row r="814" ht="13.5" customHeight="1">
      <c r="B814" s="45" t="s">
        <v>2872</v>
      </c>
      <c r="C814" s="6" t="s">
        <v>2993</v>
      </c>
      <c r="D814" s="6">
        <v>1.0</v>
      </c>
      <c r="E814" s="6">
        <v>0.0</v>
      </c>
      <c r="F814" s="6">
        <v>0.0</v>
      </c>
      <c r="G814" s="6">
        <v>1.0</v>
      </c>
      <c r="H814" s="6">
        <v>22000.0</v>
      </c>
      <c r="I814" s="6">
        <v>1.0</v>
      </c>
      <c r="M814" s="16">
        <f t="shared" si="5"/>
        <v>22000</v>
      </c>
      <c r="N814" s="21">
        <f t="shared" si="6"/>
        <v>0</v>
      </c>
    </row>
    <row r="815" ht="13.5" customHeight="1">
      <c r="B815" s="45" t="s">
        <v>2872</v>
      </c>
      <c r="C815" s="6" t="s">
        <v>2994</v>
      </c>
      <c r="D815" s="6">
        <v>1.0</v>
      </c>
      <c r="E815" s="6">
        <v>0.0</v>
      </c>
      <c r="F815" s="6">
        <v>0.0</v>
      </c>
      <c r="G815" s="6">
        <v>1.0</v>
      </c>
      <c r="H815" s="6">
        <v>22000.0</v>
      </c>
      <c r="I815" s="6">
        <v>1.0</v>
      </c>
      <c r="M815" s="16">
        <f t="shared" si="5"/>
        <v>22000</v>
      </c>
      <c r="N815" s="21">
        <f t="shared" si="6"/>
        <v>0</v>
      </c>
    </row>
    <row r="816" ht="13.5" customHeight="1">
      <c r="B816" s="45" t="s">
        <v>2872</v>
      </c>
      <c r="C816" s="6" t="s">
        <v>2995</v>
      </c>
      <c r="D816" s="6">
        <v>1.0</v>
      </c>
      <c r="E816" s="6">
        <v>0.0</v>
      </c>
      <c r="F816" s="6">
        <v>0.0</v>
      </c>
      <c r="G816" s="6">
        <v>1.0</v>
      </c>
      <c r="H816" s="6">
        <v>22000.0</v>
      </c>
      <c r="I816" s="6">
        <v>1.0</v>
      </c>
      <c r="M816" s="16">
        <f t="shared" si="5"/>
        <v>22000</v>
      </c>
      <c r="N816" s="21">
        <f t="shared" si="6"/>
        <v>0</v>
      </c>
    </row>
    <row r="817" ht="13.5" customHeight="1">
      <c r="B817" s="45" t="s">
        <v>2872</v>
      </c>
      <c r="C817" s="6" t="s">
        <v>2998</v>
      </c>
      <c r="D817" s="6">
        <v>1.0</v>
      </c>
      <c r="E817" s="6">
        <v>0.0</v>
      </c>
      <c r="F817" s="6">
        <v>0.0</v>
      </c>
      <c r="G817" s="6">
        <v>1.0</v>
      </c>
      <c r="H817" s="6">
        <v>22000.0</v>
      </c>
      <c r="I817" s="6">
        <v>1.0</v>
      </c>
      <c r="M817" s="16">
        <f t="shared" si="5"/>
        <v>22000</v>
      </c>
      <c r="N817" s="21">
        <f t="shared" si="6"/>
        <v>0</v>
      </c>
    </row>
    <row r="818" ht="13.5" customHeight="1">
      <c r="B818" s="45" t="s">
        <v>2872</v>
      </c>
      <c r="C818" s="6" t="s">
        <v>3000</v>
      </c>
      <c r="D818" s="6">
        <v>1.0</v>
      </c>
      <c r="E818" s="6">
        <v>0.0</v>
      </c>
      <c r="F818" s="6">
        <v>0.0</v>
      </c>
      <c r="G818" s="6">
        <v>1.0</v>
      </c>
      <c r="H818" s="6">
        <v>22000.0</v>
      </c>
      <c r="I818" s="6">
        <v>1.0</v>
      </c>
      <c r="M818" s="16">
        <f t="shared" si="5"/>
        <v>22000</v>
      </c>
      <c r="N818" s="21">
        <f t="shared" si="6"/>
        <v>0</v>
      </c>
    </row>
    <row r="819" ht="13.5" customHeight="1">
      <c r="B819" s="45" t="s">
        <v>2872</v>
      </c>
      <c r="C819" s="6" t="s">
        <v>3003</v>
      </c>
      <c r="D819" s="6">
        <v>1.0</v>
      </c>
      <c r="E819" s="6">
        <v>0.0</v>
      </c>
      <c r="F819" s="6">
        <v>0.0</v>
      </c>
      <c r="G819" s="6">
        <v>1.0</v>
      </c>
      <c r="H819" s="6">
        <v>22000.0</v>
      </c>
      <c r="I819" s="6">
        <v>1.0</v>
      </c>
      <c r="M819" s="16">
        <f t="shared" si="5"/>
        <v>22000</v>
      </c>
      <c r="N819" s="21">
        <f t="shared" si="6"/>
        <v>0</v>
      </c>
    </row>
    <row r="820" ht="13.5" customHeight="1">
      <c r="B820" s="45" t="s">
        <v>2872</v>
      </c>
      <c r="C820" s="6" t="s">
        <v>3005</v>
      </c>
      <c r="D820" s="6">
        <v>1.0</v>
      </c>
      <c r="E820" s="6">
        <v>0.0</v>
      </c>
      <c r="F820" s="6">
        <v>0.0</v>
      </c>
      <c r="G820" s="6">
        <v>1.0</v>
      </c>
      <c r="H820" s="6">
        <v>22000.0</v>
      </c>
      <c r="I820" s="6">
        <v>1.0</v>
      </c>
      <c r="M820" s="16">
        <f t="shared" si="5"/>
        <v>22000</v>
      </c>
      <c r="N820" s="21">
        <f t="shared" si="6"/>
        <v>0</v>
      </c>
    </row>
    <row r="821" ht="13.5" customHeight="1">
      <c r="B821" s="45" t="s">
        <v>2872</v>
      </c>
      <c r="C821" s="6" t="s">
        <v>3008</v>
      </c>
      <c r="D821" s="6">
        <v>1.0</v>
      </c>
      <c r="E821" s="6">
        <v>0.0</v>
      </c>
      <c r="F821" s="6">
        <v>0.0</v>
      </c>
      <c r="G821" s="6">
        <v>1.0</v>
      </c>
      <c r="H821" s="6">
        <v>22000.0</v>
      </c>
      <c r="I821" s="6">
        <v>1.0</v>
      </c>
      <c r="M821" s="16">
        <f t="shared" si="5"/>
        <v>22000</v>
      </c>
      <c r="N821" s="21">
        <f t="shared" si="6"/>
        <v>0</v>
      </c>
    </row>
    <row r="822" ht="13.5" customHeight="1">
      <c r="B822" s="45" t="s">
        <v>2872</v>
      </c>
      <c r="C822" s="6" t="s">
        <v>3010</v>
      </c>
      <c r="D822" s="6">
        <v>1.0</v>
      </c>
      <c r="E822" s="6">
        <v>0.0</v>
      </c>
      <c r="F822" s="6">
        <v>0.0</v>
      </c>
      <c r="G822" s="6">
        <v>1.0</v>
      </c>
      <c r="H822" s="6">
        <v>22000.0</v>
      </c>
      <c r="I822" s="6">
        <v>1.0</v>
      </c>
      <c r="M822" s="16">
        <f t="shared" si="5"/>
        <v>22000</v>
      </c>
      <c r="N822" s="21">
        <f t="shared" si="6"/>
        <v>0</v>
      </c>
    </row>
    <row r="823" ht="13.5" customHeight="1">
      <c r="B823" s="45" t="s">
        <v>2872</v>
      </c>
      <c r="C823" s="6" t="s">
        <v>3013</v>
      </c>
      <c r="D823" s="6">
        <v>1.0</v>
      </c>
      <c r="E823" s="6">
        <v>0.0</v>
      </c>
      <c r="F823" s="6">
        <v>0.0</v>
      </c>
      <c r="G823" s="6">
        <v>1.0</v>
      </c>
      <c r="H823" s="6">
        <v>22000.0</v>
      </c>
      <c r="I823" s="6">
        <v>1.0</v>
      </c>
      <c r="M823" s="16">
        <f t="shared" si="5"/>
        <v>22000</v>
      </c>
      <c r="N823" s="21">
        <f t="shared" si="6"/>
        <v>0</v>
      </c>
    </row>
    <row r="824" ht="13.5" customHeight="1">
      <c r="B824" s="45" t="s">
        <v>2872</v>
      </c>
      <c r="C824" s="6" t="s">
        <v>3016</v>
      </c>
      <c r="D824" s="6">
        <v>1.0</v>
      </c>
      <c r="E824" s="6">
        <v>0.0</v>
      </c>
      <c r="F824" s="6">
        <v>0.0</v>
      </c>
      <c r="G824" s="6">
        <v>1.0</v>
      </c>
      <c r="H824" s="6">
        <v>22000.0</v>
      </c>
      <c r="I824" s="6">
        <v>1.0</v>
      </c>
      <c r="M824" s="16">
        <f t="shared" si="5"/>
        <v>22000</v>
      </c>
      <c r="N824" s="21">
        <f t="shared" si="6"/>
        <v>0</v>
      </c>
    </row>
    <row r="825" ht="13.5" customHeight="1">
      <c r="B825" s="45" t="s">
        <v>2872</v>
      </c>
      <c r="C825" s="6" t="s">
        <v>3018</v>
      </c>
      <c r="D825" s="6">
        <v>1.0</v>
      </c>
      <c r="E825" s="6">
        <v>0.0</v>
      </c>
      <c r="F825" s="6">
        <v>0.0</v>
      </c>
      <c r="G825" s="6">
        <v>1.0</v>
      </c>
      <c r="H825" s="6">
        <v>22000.0</v>
      </c>
      <c r="I825" s="6">
        <v>1.0</v>
      </c>
      <c r="M825" s="16">
        <f t="shared" si="5"/>
        <v>22000</v>
      </c>
      <c r="N825" s="21">
        <f t="shared" si="6"/>
        <v>0</v>
      </c>
    </row>
    <row r="826" ht="13.5" customHeight="1">
      <c r="B826" s="45" t="s">
        <v>2872</v>
      </c>
      <c r="C826" s="6" t="s">
        <v>3021</v>
      </c>
      <c r="D826" s="6">
        <v>1.0</v>
      </c>
      <c r="E826" s="6">
        <v>0.0</v>
      </c>
      <c r="F826" s="6">
        <v>0.0</v>
      </c>
      <c r="G826" s="6">
        <v>1.0</v>
      </c>
      <c r="H826" s="6">
        <v>22000.0</v>
      </c>
      <c r="I826" s="6">
        <v>1.0</v>
      </c>
      <c r="M826" s="16">
        <f t="shared" si="5"/>
        <v>22000</v>
      </c>
      <c r="N826" s="21">
        <f t="shared" si="6"/>
        <v>0</v>
      </c>
    </row>
    <row r="827" ht="13.5" customHeight="1">
      <c r="B827" s="45" t="s">
        <v>2872</v>
      </c>
      <c r="C827" s="6" t="s">
        <v>3024</v>
      </c>
      <c r="D827" s="6">
        <v>1.0</v>
      </c>
      <c r="E827" s="6">
        <v>0.0</v>
      </c>
      <c r="F827" s="6">
        <v>0.0</v>
      </c>
      <c r="G827" s="6">
        <v>1.0</v>
      </c>
      <c r="H827" s="6">
        <v>22000.0</v>
      </c>
      <c r="I827" s="6">
        <v>1.0</v>
      </c>
      <c r="M827" s="16">
        <f t="shared" si="5"/>
        <v>22000</v>
      </c>
      <c r="N827" s="21">
        <f t="shared" si="6"/>
        <v>0</v>
      </c>
    </row>
    <row r="828" ht="13.5" customHeight="1">
      <c r="B828" s="45" t="s">
        <v>2872</v>
      </c>
      <c r="C828" s="6" t="s">
        <v>3027</v>
      </c>
      <c r="D828" s="6">
        <v>1.0</v>
      </c>
      <c r="E828" s="6">
        <v>0.0</v>
      </c>
      <c r="F828" s="6">
        <v>0.0</v>
      </c>
      <c r="G828" s="6">
        <v>1.0</v>
      </c>
      <c r="H828" s="6">
        <v>22000.0</v>
      </c>
      <c r="I828" s="6">
        <v>1.0</v>
      </c>
      <c r="M828" s="16">
        <f t="shared" si="5"/>
        <v>22000</v>
      </c>
      <c r="N828" s="21">
        <f t="shared" si="6"/>
        <v>0</v>
      </c>
    </row>
    <row r="829" ht="13.5" customHeight="1">
      <c r="B829" s="45" t="s">
        <v>2872</v>
      </c>
      <c r="C829" s="6" t="s">
        <v>3030</v>
      </c>
      <c r="D829" s="6">
        <v>1.0</v>
      </c>
      <c r="E829" s="6">
        <v>0.0</v>
      </c>
      <c r="F829" s="6">
        <v>0.0</v>
      </c>
      <c r="G829" s="6">
        <v>1.0</v>
      </c>
      <c r="H829" s="6">
        <v>22000.0</v>
      </c>
      <c r="I829" s="6">
        <v>1.0</v>
      </c>
      <c r="M829" s="16">
        <f t="shared" si="5"/>
        <v>22000</v>
      </c>
      <c r="N829" s="21">
        <f t="shared" si="6"/>
        <v>0</v>
      </c>
    </row>
    <row r="830" ht="13.5" customHeight="1">
      <c r="B830" s="44"/>
      <c r="C830" s="6" t="s">
        <v>3033</v>
      </c>
      <c r="D830" s="6">
        <v>1.0</v>
      </c>
      <c r="E830" s="6">
        <v>1.0</v>
      </c>
      <c r="F830" s="6">
        <v>0.0</v>
      </c>
      <c r="G830" s="6">
        <v>1.0</v>
      </c>
      <c r="H830" s="6">
        <v>14000.0</v>
      </c>
      <c r="I830" s="6">
        <v>1.0</v>
      </c>
      <c r="M830" s="16">
        <f t="shared" si="5"/>
        <v>14000</v>
      </c>
      <c r="N830" s="21">
        <f t="shared" si="6"/>
        <v>1</v>
      </c>
    </row>
    <row r="831" ht="13.5" customHeight="1">
      <c r="B831" s="45" t="s">
        <v>2872</v>
      </c>
      <c r="C831" s="6" t="s">
        <v>3035</v>
      </c>
      <c r="D831" s="6">
        <v>1.0</v>
      </c>
      <c r="E831" s="6">
        <v>0.0</v>
      </c>
      <c r="F831" s="6">
        <v>0.0</v>
      </c>
      <c r="G831" s="6">
        <v>1.0</v>
      </c>
      <c r="H831" s="6">
        <v>14000.0</v>
      </c>
      <c r="I831" s="6">
        <v>1.0</v>
      </c>
      <c r="M831" s="16">
        <f t="shared" si="5"/>
        <v>14000</v>
      </c>
      <c r="N831" s="21">
        <f t="shared" si="6"/>
        <v>1</v>
      </c>
    </row>
    <row r="832" ht="13.5" customHeight="1">
      <c r="B832" s="45" t="s">
        <v>2872</v>
      </c>
      <c r="C832" s="6" t="s">
        <v>3036</v>
      </c>
      <c r="D832" s="6">
        <v>1.0</v>
      </c>
      <c r="E832" s="6">
        <v>0.0</v>
      </c>
      <c r="F832" s="6">
        <v>0.0</v>
      </c>
      <c r="G832" s="6">
        <v>1.0</v>
      </c>
      <c r="H832" s="6">
        <v>14000.0</v>
      </c>
      <c r="I832" s="6">
        <v>1.0</v>
      </c>
      <c r="M832" s="16">
        <f t="shared" si="5"/>
        <v>14000</v>
      </c>
      <c r="N832" s="21">
        <f t="shared" si="6"/>
        <v>1</v>
      </c>
    </row>
    <row r="833" ht="13.5" customHeight="1">
      <c r="B833" s="45" t="s">
        <v>2872</v>
      </c>
      <c r="C833" s="6" t="s">
        <v>3038</v>
      </c>
      <c r="D833" s="6">
        <v>1.0</v>
      </c>
      <c r="E833" s="6">
        <v>0.0</v>
      </c>
      <c r="F833" s="6">
        <v>0.0</v>
      </c>
      <c r="G833" s="6">
        <v>1.0</v>
      </c>
      <c r="H833" s="6">
        <v>14000.0</v>
      </c>
      <c r="I833" s="6">
        <v>1.0</v>
      </c>
      <c r="M833" s="16">
        <f t="shared" si="5"/>
        <v>14000</v>
      </c>
      <c r="N833" s="21">
        <f t="shared" si="6"/>
        <v>1</v>
      </c>
    </row>
    <row r="834" ht="13.5" customHeight="1">
      <c r="B834" s="45" t="s">
        <v>2872</v>
      </c>
      <c r="C834" s="6" t="s">
        <v>3040</v>
      </c>
      <c r="D834" s="6">
        <v>1.0</v>
      </c>
      <c r="E834" s="6">
        <v>0.0</v>
      </c>
      <c r="F834" s="6">
        <v>0.0</v>
      </c>
      <c r="G834" s="6">
        <v>1.0</v>
      </c>
      <c r="H834" s="6">
        <v>14000.0</v>
      </c>
      <c r="I834" s="6">
        <v>1.0</v>
      </c>
      <c r="M834" s="16">
        <f t="shared" si="5"/>
        <v>14000</v>
      </c>
      <c r="N834" s="21">
        <f t="shared" si="6"/>
        <v>1</v>
      </c>
    </row>
    <row r="835" ht="13.5" customHeight="1">
      <c r="B835" s="45" t="s">
        <v>2872</v>
      </c>
      <c r="C835" s="6" t="s">
        <v>3043</v>
      </c>
      <c r="D835" s="6">
        <v>1.0</v>
      </c>
      <c r="E835" s="6">
        <v>0.0</v>
      </c>
      <c r="F835" s="6">
        <v>0.0</v>
      </c>
      <c r="G835" s="6">
        <v>1.0</v>
      </c>
      <c r="H835" s="6">
        <v>14000.0</v>
      </c>
      <c r="I835" s="6">
        <v>1.0</v>
      </c>
      <c r="M835" s="16">
        <f t="shared" si="5"/>
        <v>14000</v>
      </c>
      <c r="N835" s="21">
        <f t="shared" si="6"/>
        <v>1</v>
      </c>
    </row>
    <row r="836" ht="13.5" customHeight="1">
      <c r="B836" s="45" t="s">
        <v>2872</v>
      </c>
      <c r="C836" s="6" t="s">
        <v>3046</v>
      </c>
      <c r="D836" s="6">
        <v>1.0</v>
      </c>
      <c r="E836" s="6">
        <v>0.0</v>
      </c>
      <c r="F836" s="6">
        <v>0.0</v>
      </c>
      <c r="G836" s="6">
        <v>1.0</v>
      </c>
      <c r="H836" s="6">
        <v>14000.0</v>
      </c>
      <c r="I836" s="6">
        <v>1.0</v>
      </c>
      <c r="M836" s="16">
        <f t="shared" si="5"/>
        <v>14000</v>
      </c>
      <c r="N836" s="21">
        <f t="shared" si="6"/>
        <v>1</v>
      </c>
    </row>
    <row r="837" ht="13.5" customHeight="1">
      <c r="B837" s="45" t="s">
        <v>2872</v>
      </c>
      <c r="C837" s="6" t="s">
        <v>3049</v>
      </c>
      <c r="D837" s="6">
        <v>1.0</v>
      </c>
      <c r="E837" s="6">
        <v>0.0</v>
      </c>
      <c r="F837" s="6">
        <v>0.0</v>
      </c>
      <c r="G837" s="6">
        <v>1.0</v>
      </c>
      <c r="H837" s="6">
        <v>14000.0</v>
      </c>
      <c r="I837" s="6">
        <v>1.0</v>
      </c>
      <c r="M837" s="16">
        <f t="shared" si="5"/>
        <v>14000</v>
      </c>
      <c r="N837" s="21">
        <f t="shared" si="6"/>
        <v>1</v>
      </c>
    </row>
    <row r="838" ht="13.5" customHeight="1">
      <c r="B838" s="45" t="s">
        <v>2872</v>
      </c>
      <c r="C838" s="6" t="s">
        <v>3052</v>
      </c>
      <c r="D838" s="6">
        <v>1.0</v>
      </c>
      <c r="E838" s="6">
        <v>0.0</v>
      </c>
      <c r="F838" s="6">
        <v>0.0</v>
      </c>
      <c r="G838" s="6">
        <v>1.0</v>
      </c>
      <c r="H838" s="6">
        <v>14000.0</v>
      </c>
      <c r="I838" s="6">
        <v>1.0</v>
      </c>
      <c r="M838" s="16">
        <f t="shared" si="5"/>
        <v>14000</v>
      </c>
      <c r="N838" s="21">
        <f t="shared" si="6"/>
        <v>1</v>
      </c>
    </row>
    <row r="839" ht="13.5" customHeight="1">
      <c r="B839" s="45" t="s">
        <v>2872</v>
      </c>
      <c r="C839" s="6" t="s">
        <v>3055</v>
      </c>
      <c r="D839" s="6">
        <v>1.0</v>
      </c>
      <c r="E839" s="6">
        <v>0.0</v>
      </c>
      <c r="F839" s="6">
        <v>0.0</v>
      </c>
      <c r="G839" s="6">
        <v>1.0</v>
      </c>
      <c r="H839" s="6">
        <v>14000.0</v>
      </c>
      <c r="I839" s="6">
        <v>1.0</v>
      </c>
      <c r="M839" s="16">
        <f t="shared" si="5"/>
        <v>14000</v>
      </c>
      <c r="N839" s="21">
        <f t="shared" si="6"/>
        <v>1</v>
      </c>
    </row>
    <row r="840" ht="13.5" customHeight="1">
      <c r="B840" s="45" t="s">
        <v>2872</v>
      </c>
      <c r="C840" s="6" t="s">
        <v>3057</v>
      </c>
      <c r="D840" s="6">
        <v>1.0</v>
      </c>
      <c r="E840" s="6">
        <v>0.0</v>
      </c>
      <c r="F840" s="6">
        <v>0.0</v>
      </c>
      <c r="G840" s="6">
        <v>1.0</v>
      </c>
      <c r="H840" s="6">
        <v>14000.0</v>
      </c>
      <c r="I840" s="6">
        <v>1.0</v>
      </c>
      <c r="M840" s="16">
        <f t="shared" si="5"/>
        <v>14000</v>
      </c>
      <c r="N840" s="21">
        <f t="shared" si="6"/>
        <v>1</v>
      </c>
    </row>
    <row r="841" ht="13.5" customHeight="1">
      <c r="A841" s="25"/>
      <c r="B841" s="2"/>
      <c r="C841" t="s">
        <v>3060</v>
      </c>
      <c r="D841" s="6">
        <v>1.0</v>
      </c>
      <c r="E841" s="6">
        <v>1.0</v>
      </c>
      <c r="F841" s="6">
        <v>0.0</v>
      </c>
      <c r="G841" s="6">
        <v>1.0</v>
      </c>
      <c r="H841" s="65">
        <v>22000.0</v>
      </c>
      <c r="I841" s="6">
        <v>1.0</v>
      </c>
      <c r="J841" s="35"/>
      <c r="K841" s="35"/>
      <c r="L841" s="35"/>
      <c r="M841" s="16">
        <f t="shared" si="5"/>
        <v>22000</v>
      </c>
      <c r="N841" s="21">
        <f t="shared" si="6"/>
        <v>0</v>
      </c>
    </row>
    <row r="842" ht="13.5" customHeight="1">
      <c r="A842" s="25"/>
      <c r="B842" s="2"/>
      <c r="C842" t="s">
        <v>3063</v>
      </c>
      <c r="D842" s="6">
        <v>1.0</v>
      </c>
      <c r="E842" s="6">
        <v>1.0</v>
      </c>
      <c r="F842" s="6">
        <v>0.0</v>
      </c>
      <c r="G842" s="6">
        <v>1.0</v>
      </c>
      <c r="H842" s="65">
        <v>23000.0</v>
      </c>
      <c r="I842" s="6">
        <v>1.0</v>
      </c>
      <c r="J842" s="35"/>
      <c r="K842" s="35"/>
      <c r="L842" s="35"/>
      <c r="M842" s="16">
        <f t="shared" si="5"/>
        <v>23000</v>
      </c>
      <c r="N842" s="21">
        <f t="shared" si="6"/>
        <v>0</v>
      </c>
    </row>
    <row r="843" ht="13.5" customHeight="1">
      <c r="A843" s="25"/>
      <c r="B843" s="2"/>
      <c r="C843" t="s">
        <v>3064</v>
      </c>
      <c r="D843" s="6">
        <v>1.0</v>
      </c>
      <c r="E843" s="6">
        <v>1.0</v>
      </c>
      <c r="F843" s="6">
        <v>0.0</v>
      </c>
      <c r="G843" s="6">
        <v>1.0</v>
      </c>
      <c r="H843" s="65">
        <v>25000.0</v>
      </c>
      <c r="I843" s="6">
        <v>1.0</v>
      </c>
      <c r="J843" s="35"/>
      <c r="K843" s="35"/>
      <c r="L843" s="35"/>
      <c r="M843" s="16">
        <f t="shared" si="5"/>
        <v>25000</v>
      </c>
      <c r="N843" s="21">
        <f t="shared" si="6"/>
        <v>0</v>
      </c>
    </row>
    <row r="844" ht="13.5" customHeight="1">
      <c r="A844" s="25"/>
      <c r="B844" s="2"/>
      <c r="C844" t="s">
        <v>3066</v>
      </c>
      <c r="D844" s="6">
        <v>1.0</v>
      </c>
      <c r="E844" s="6">
        <v>1.0</v>
      </c>
      <c r="F844" s="6">
        <v>0.0</v>
      </c>
      <c r="G844" s="6">
        <v>1.0</v>
      </c>
      <c r="H844" s="65">
        <v>26000.0</v>
      </c>
      <c r="I844" s="6">
        <v>1.0</v>
      </c>
      <c r="J844" s="35"/>
      <c r="K844" s="35"/>
      <c r="L844" s="35"/>
      <c r="M844" s="16">
        <f t="shared" si="5"/>
        <v>26000</v>
      </c>
      <c r="N844" s="21">
        <f t="shared" si="6"/>
        <v>0</v>
      </c>
    </row>
    <row r="845" ht="13.5" customHeight="1">
      <c r="A845" s="25"/>
      <c r="B845" s="2"/>
      <c r="C845" t="s">
        <v>3067</v>
      </c>
      <c r="D845" s="6">
        <v>1.0</v>
      </c>
      <c r="E845" s="6">
        <v>1.0</v>
      </c>
      <c r="F845" s="6">
        <v>0.0</v>
      </c>
      <c r="G845" s="6">
        <v>1.0</v>
      </c>
      <c r="H845" s="65">
        <v>19000.0</v>
      </c>
      <c r="I845" s="6">
        <v>1.0</v>
      </c>
      <c r="J845" s="35"/>
      <c r="K845" s="35"/>
      <c r="L845" s="35"/>
      <c r="M845" s="16">
        <f t="shared" si="5"/>
        <v>19000</v>
      </c>
      <c r="N845" s="21">
        <f t="shared" si="6"/>
        <v>1</v>
      </c>
    </row>
    <row r="846" ht="13.5" customHeight="1">
      <c r="A846" s="25"/>
      <c r="B846" s="2"/>
      <c r="C846" t="s">
        <v>3068</v>
      </c>
      <c r="D846" s="6">
        <v>1.0</v>
      </c>
      <c r="E846" s="6">
        <v>1.0</v>
      </c>
      <c r="F846" s="6">
        <v>0.0</v>
      </c>
      <c r="G846" s="6">
        <v>1.0</v>
      </c>
      <c r="H846" s="65">
        <v>19000.0</v>
      </c>
      <c r="I846" s="6">
        <v>1.0</v>
      </c>
      <c r="J846" s="35"/>
      <c r="K846" s="35"/>
      <c r="L846" s="35"/>
      <c r="M846" s="16">
        <f t="shared" si="5"/>
        <v>19000</v>
      </c>
      <c r="N846" s="21">
        <f t="shared" si="6"/>
        <v>1</v>
      </c>
    </row>
    <row r="847" ht="13.5" customHeight="1">
      <c r="A847" s="25"/>
      <c r="B847" s="2"/>
      <c r="C847" t="s">
        <v>3070</v>
      </c>
      <c r="D847" s="6">
        <v>1.0</v>
      </c>
      <c r="E847" s="6">
        <v>1.0</v>
      </c>
      <c r="F847" s="6">
        <v>0.0</v>
      </c>
      <c r="G847" s="6">
        <v>1.0</v>
      </c>
      <c r="H847" s="65">
        <v>18000.0</v>
      </c>
      <c r="I847" s="6">
        <v>1.0</v>
      </c>
      <c r="J847" s="35"/>
      <c r="K847" s="35"/>
      <c r="L847" s="35"/>
      <c r="M847" s="16">
        <f t="shared" si="5"/>
        <v>18000</v>
      </c>
      <c r="N847" s="21">
        <f t="shared" si="6"/>
        <v>1</v>
      </c>
    </row>
    <row r="848" ht="13.5" customHeight="1">
      <c r="A848" s="25"/>
      <c r="B848" s="2"/>
      <c r="C848" t="s">
        <v>3072</v>
      </c>
      <c r="D848" s="6">
        <v>1.0</v>
      </c>
      <c r="E848" s="6">
        <v>1.0</v>
      </c>
      <c r="F848" s="6">
        <v>0.0</v>
      </c>
      <c r="G848" s="6">
        <v>1.0</v>
      </c>
      <c r="H848" s="65">
        <v>18000.0</v>
      </c>
      <c r="I848" s="6">
        <v>1.0</v>
      </c>
      <c r="J848" s="35"/>
      <c r="K848" s="35"/>
      <c r="L848" s="35"/>
      <c r="M848" s="16">
        <f t="shared" si="5"/>
        <v>18000</v>
      </c>
      <c r="N848" s="21">
        <f t="shared" si="6"/>
        <v>1</v>
      </c>
    </row>
    <row r="849" ht="13.5" customHeight="1">
      <c r="A849" s="25"/>
      <c r="B849" s="2"/>
      <c r="C849" t="s">
        <v>3075</v>
      </c>
      <c r="D849" s="6">
        <v>1.0</v>
      </c>
      <c r="E849" s="6">
        <v>1.0</v>
      </c>
      <c r="F849" s="6">
        <v>0.0</v>
      </c>
      <c r="G849" s="6">
        <v>1.0</v>
      </c>
      <c r="H849" s="65">
        <v>18000.0</v>
      </c>
      <c r="I849" s="6">
        <v>1.0</v>
      </c>
      <c r="J849" s="35"/>
      <c r="K849" s="35"/>
      <c r="L849" s="35"/>
      <c r="M849" s="16">
        <f t="shared" si="5"/>
        <v>18000</v>
      </c>
      <c r="N849" s="21">
        <f t="shared" si="6"/>
        <v>1</v>
      </c>
    </row>
    <row r="850" ht="13.5" customHeight="1">
      <c r="A850" s="25"/>
      <c r="B850" s="2"/>
      <c r="C850" t="s">
        <v>3077</v>
      </c>
      <c r="D850" s="6">
        <v>1.0</v>
      </c>
      <c r="E850" s="6">
        <v>1.0</v>
      </c>
      <c r="F850" s="6">
        <v>0.0</v>
      </c>
      <c r="G850" s="6">
        <v>1.0</v>
      </c>
      <c r="H850" s="65">
        <v>18000.0</v>
      </c>
      <c r="I850" s="6">
        <v>1.0</v>
      </c>
      <c r="J850" s="35"/>
      <c r="K850" s="35"/>
      <c r="L850" s="35"/>
      <c r="M850" s="16">
        <f t="shared" si="5"/>
        <v>18000</v>
      </c>
      <c r="N850" s="21">
        <f t="shared" si="6"/>
        <v>1</v>
      </c>
    </row>
    <row r="851" ht="13.5" customHeight="1">
      <c r="A851" s="25"/>
      <c r="B851" s="2"/>
      <c r="C851" t="s">
        <v>3080</v>
      </c>
      <c r="D851" s="6">
        <v>1.0</v>
      </c>
      <c r="E851" s="6">
        <v>1.0</v>
      </c>
      <c r="F851" s="6">
        <v>0.0</v>
      </c>
      <c r="G851" s="6">
        <v>1.0</v>
      </c>
      <c r="H851" s="65">
        <v>18000.0</v>
      </c>
      <c r="I851" s="6">
        <v>1.0</v>
      </c>
      <c r="J851" s="35"/>
      <c r="K851" s="35"/>
      <c r="L851" s="35"/>
      <c r="M851" s="16">
        <f t="shared" si="5"/>
        <v>18000</v>
      </c>
      <c r="N851" s="21">
        <f t="shared" si="6"/>
        <v>1</v>
      </c>
    </row>
    <row r="852" ht="13.5" customHeight="1">
      <c r="A852" s="25"/>
      <c r="B852" s="2"/>
      <c r="C852" t="s">
        <v>3084</v>
      </c>
      <c r="D852" s="6">
        <v>1.0</v>
      </c>
      <c r="E852" s="6">
        <v>1.0</v>
      </c>
      <c r="F852" s="6">
        <v>0.0</v>
      </c>
      <c r="G852" s="6">
        <v>1.0</v>
      </c>
      <c r="H852" s="65">
        <v>18000.0</v>
      </c>
      <c r="I852" s="6">
        <v>1.0</v>
      </c>
      <c r="J852" s="35"/>
      <c r="K852" s="35"/>
      <c r="L852" s="35"/>
      <c r="M852" s="16">
        <f t="shared" si="5"/>
        <v>18000</v>
      </c>
      <c r="N852" s="21">
        <f t="shared" si="6"/>
        <v>1</v>
      </c>
    </row>
    <row r="853" ht="13.5" customHeight="1">
      <c r="A853" s="25"/>
      <c r="B853" s="2"/>
      <c r="C853" t="s">
        <v>3087</v>
      </c>
      <c r="D853" s="6">
        <v>1.0</v>
      </c>
      <c r="E853" s="6">
        <v>1.0</v>
      </c>
      <c r="F853" s="6">
        <v>0.0</v>
      </c>
      <c r="G853" s="6">
        <v>1.0</v>
      </c>
      <c r="H853" s="65">
        <v>18000.0</v>
      </c>
      <c r="I853" s="6">
        <v>1.0</v>
      </c>
      <c r="J853" s="35"/>
      <c r="K853" s="35"/>
      <c r="L853" s="35"/>
      <c r="M853" s="16">
        <f t="shared" si="5"/>
        <v>18000</v>
      </c>
      <c r="N853" s="21">
        <f t="shared" si="6"/>
        <v>1</v>
      </c>
    </row>
    <row r="854" ht="13.5" customHeight="1">
      <c r="A854" s="25"/>
      <c r="B854" s="2"/>
      <c r="C854" t="s">
        <v>3092</v>
      </c>
      <c r="D854" s="6">
        <v>1.0</v>
      </c>
      <c r="E854" s="6">
        <v>1.0</v>
      </c>
      <c r="F854" s="6">
        <v>0.0</v>
      </c>
      <c r="G854" s="6">
        <v>1.0</v>
      </c>
      <c r="H854" s="65">
        <v>18000.0</v>
      </c>
      <c r="I854" s="6">
        <v>1.0</v>
      </c>
      <c r="J854" s="35"/>
      <c r="K854" s="35"/>
      <c r="L854" s="35"/>
      <c r="M854" s="16">
        <f t="shared" si="5"/>
        <v>18000</v>
      </c>
      <c r="N854" s="21">
        <f t="shared" si="6"/>
        <v>1</v>
      </c>
    </row>
    <row r="855" ht="13.5" customHeight="1">
      <c r="A855" s="25"/>
      <c r="B855" s="2"/>
      <c r="C855" t="s">
        <v>3096</v>
      </c>
      <c r="D855" s="6">
        <v>1.0</v>
      </c>
      <c r="E855" s="6">
        <v>1.0</v>
      </c>
      <c r="F855" s="6">
        <v>0.0</v>
      </c>
      <c r="G855" s="6">
        <v>1.0</v>
      </c>
      <c r="H855" s="65">
        <v>5000.0</v>
      </c>
      <c r="I855" s="6">
        <v>1.0</v>
      </c>
      <c r="J855" s="35"/>
      <c r="K855" s="35"/>
      <c r="L855" s="35"/>
      <c r="M855" s="16">
        <f t="shared" si="5"/>
        <v>5000</v>
      </c>
      <c r="N855" s="21">
        <f t="shared" si="6"/>
        <v>2</v>
      </c>
    </row>
    <row r="856" ht="13.5" customHeight="1">
      <c r="A856" s="25"/>
      <c r="B856" s="2"/>
      <c r="C856" t="s">
        <v>3100</v>
      </c>
      <c r="D856" s="6">
        <v>1.0</v>
      </c>
      <c r="E856" s="6">
        <v>1.0</v>
      </c>
      <c r="F856" s="6">
        <v>0.0</v>
      </c>
      <c r="G856" s="6">
        <v>1.0</v>
      </c>
      <c r="H856" s="65">
        <v>5000.0</v>
      </c>
      <c r="I856" s="6">
        <v>1.0</v>
      </c>
      <c r="J856" s="35"/>
      <c r="K856" s="35"/>
      <c r="L856" s="35"/>
      <c r="M856" s="16">
        <f t="shared" si="5"/>
        <v>5000</v>
      </c>
      <c r="N856" s="21">
        <f t="shared" si="6"/>
        <v>2</v>
      </c>
    </row>
    <row r="857" ht="13.5" customHeight="1">
      <c r="A857" s="25"/>
      <c r="B857" s="2"/>
      <c r="C857" t="s">
        <v>3103</v>
      </c>
      <c r="D857" s="6">
        <v>1.0</v>
      </c>
      <c r="E857" s="6">
        <v>1.0</v>
      </c>
      <c r="F857" s="6">
        <v>0.0</v>
      </c>
      <c r="G857" s="6">
        <v>1.0</v>
      </c>
      <c r="H857" s="65">
        <v>6000.0</v>
      </c>
      <c r="I857" s="6">
        <v>1.0</v>
      </c>
      <c r="J857" s="35"/>
      <c r="K857" s="35"/>
      <c r="L857" s="35"/>
      <c r="M857" s="16">
        <f t="shared" si="5"/>
        <v>6000</v>
      </c>
      <c r="N857" s="21">
        <f t="shared" si="6"/>
        <v>2</v>
      </c>
    </row>
    <row r="858" ht="13.5" customHeight="1">
      <c r="A858" s="25"/>
      <c r="B858" s="2"/>
      <c r="C858" t="s">
        <v>3106</v>
      </c>
      <c r="D858" s="6">
        <v>1.0</v>
      </c>
      <c r="E858" s="6">
        <v>1.0</v>
      </c>
      <c r="F858" s="6">
        <v>0.0</v>
      </c>
      <c r="G858" s="6">
        <v>1.0</v>
      </c>
      <c r="H858" s="65">
        <v>6000.0</v>
      </c>
      <c r="I858" s="6">
        <v>1.0</v>
      </c>
      <c r="J858" s="35"/>
      <c r="K858" s="35"/>
      <c r="L858" s="35"/>
      <c r="M858" s="16">
        <f t="shared" si="5"/>
        <v>6000</v>
      </c>
      <c r="N858" s="21">
        <f t="shared" si="6"/>
        <v>2</v>
      </c>
    </row>
    <row r="859" ht="13.5" customHeight="1">
      <c r="A859" s="34" t="s">
        <v>3109</v>
      </c>
      <c r="B859" s="2"/>
      <c r="D859" s="6"/>
      <c r="E859" s="6"/>
      <c r="F859" s="6"/>
      <c r="G859" s="6"/>
      <c r="I859" s="6"/>
      <c r="M859" s="16" t="str">
        <f t="shared" si="5"/>
        <v/>
      </c>
      <c r="N859" s="21" t="str">
        <f t="shared" si="6"/>
        <v/>
      </c>
    </row>
    <row r="860" ht="13.5" customHeight="1">
      <c r="A860" s="25"/>
      <c r="B860" s="2"/>
      <c r="C860" s="6" t="s">
        <v>3111</v>
      </c>
      <c r="D860" s="6">
        <v>1.0</v>
      </c>
      <c r="E860" s="6">
        <v>1.0</v>
      </c>
      <c r="F860" s="6">
        <v>0.0</v>
      </c>
      <c r="G860" s="6">
        <v>1.0</v>
      </c>
      <c r="H860" s="6">
        <v>16000.0</v>
      </c>
      <c r="I860" s="6">
        <v>1.0</v>
      </c>
      <c r="M860" s="16">
        <f t="shared" si="5"/>
        <v>16000</v>
      </c>
      <c r="N860" s="21">
        <f t="shared" si="6"/>
        <v>1</v>
      </c>
    </row>
    <row r="861" ht="13.5" customHeight="1">
      <c r="B861" s="45" t="s">
        <v>2872</v>
      </c>
      <c r="C861" s="6" t="s">
        <v>3113</v>
      </c>
      <c r="D861" s="6">
        <v>1.0</v>
      </c>
      <c r="E861" s="6">
        <v>0.0</v>
      </c>
      <c r="F861" s="6">
        <v>0.0</v>
      </c>
      <c r="G861" s="6">
        <v>1.0</v>
      </c>
      <c r="H861" s="6">
        <v>16000.0</v>
      </c>
      <c r="I861" s="6">
        <v>1.0</v>
      </c>
      <c r="M861" s="16">
        <f t="shared" si="5"/>
        <v>16000</v>
      </c>
      <c r="N861" s="21">
        <f t="shared" si="6"/>
        <v>1</v>
      </c>
    </row>
    <row r="862" ht="13.5" customHeight="1">
      <c r="B862" s="45" t="s">
        <v>2872</v>
      </c>
      <c r="C862" s="6" t="s">
        <v>3115</v>
      </c>
      <c r="D862" s="6">
        <v>1.0</v>
      </c>
      <c r="E862" s="6">
        <v>0.0</v>
      </c>
      <c r="F862" s="6">
        <v>0.0</v>
      </c>
      <c r="G862" s="6">
        <v>1.0</v>
      </c>
      <c r="H862" s="6">
        <v>16000.0</v>
      </c>
      <c r="I862" s="6">
        <v>1.0</v>
      </c>
      <c r="M862" s="16">
        <f t="shared" si="5"/>
        <v>16000</v>
      </c>
      <c r="N862" s="21">
        <f t="shared" si="6"/>
        <v>1</v>
      </c>
    </row>
    <row r="863" ht="13.5" customHeight="1">
      <c r="B863" s="45" t="s">
        <v>2872</v>
      </c>
      <c r="C863" s="6" t="s">
        <v>3117</v>
      </c>
      <c r="D863" s="6">
        <v>1.0</v>
      </c>
      <c r="E863" s="6">
        <v>0.0</v>
      </c>
      <c r="F863" s="6">
        <v>0.0</v>
      </c>
      <c r="G863" s="6">
        <v>1.0</v>
      </c>
      <c r="H863" s="6">
        <v>16000.0</v>
      </c>
      <c r="I863" s="6">
        <v>1.0</v>
      </c>
      <c r="M863" s="16">
        <f t="shared" si="5"/>
        <v>16000</v>
      </c>
      <c r="N863" s="21">
        <f t="shared" si="6"/>
        <v>1</v>
      </c>
    </row>
    <row r="864" ht="13.5" customHeight="1">
      <c r="B864" s="45" t="s">
        <v>2872</v>
      </c>
      <c r="C864" s="6" t="s">
        <v>3119</v>
      </c>
      <c r="D864" s="6">
        <v>1.0</v>
      </c>
      <c r="E864" s="6">
        <v>0.0</v>
      </c>
      <c r="F864" s="6">
        <v>0.0</v>
      </c>
      <c r="G864" s="6">
        <v>1.0</v>
      </c>
      <c r="H864" s="6">
        <v>16000.0</v>
      </c>
      <c r="I864" s="6">
        <v>1.0</v>
      </c>
      <c r="M864" s="16">
        <f t="shared" si="5"/>
        <v>16000</v>
      </c>
      <c r="N864" s="21">
        <f t="shared" si="6"/>
        <v>1</v>
      </c>
    </row>
    <row r="865" ht="13.5" customHeight="1">
      <c r="B865" s="45" t="s">
        <v>2872</v>
      </c>
      <c r="C865" s="6" t="s">
        <v>3121</v>
      </c>
      <c r="D865" s="6">
        <v>1.0</v>
      </c>
      <c r="E865" s="6">
        <v>0.0</v>
      </c>
      <c r="F865" s="6">
        <v>0.0</v>
      </c>
      <c r="G865" s="6">
        <v>1.0</v>
      </c>
      <c r="H865" s="6">
        <v>16000.0</v>
      </c>
      <c r="I865" s="6">
        <v>1.0</v>
      </c>
      <c r="M865" s="16">
        <f t="shared" si="5"/>
        <v>16000</v>
      </c>
      <c r="N865" s="21">
        <f t="shared" si="6"/>
        <v>1</v>
      </c>
    </row>
    <row r="866" ht="13.5" customHeight="1">
      <c r="B866" s="45" t="s">
        <v>2872</v>
      </c>
      <c r="C866" s="6" t="s">
        <v>3123</v>
      </c>
      <c r="D866" s="6">
        <v>1.0</v>
      </c>
      <c r="E866" s="6">
        <v>0.0</v>
      </c>
      <c r="F866" s="6">
        <v>0.0</v>
      </c>
      <c r="G866" s="6">
        <v>1.0</v>
      </c>
      <c r="H866" s="6">
        <v>16000.0</v>
      </c>
      <c r="I866" s="6">
        <v>1.0</v>
      </c>
      <c r="M866" s="16">
        <f t="shared" si="5"/>
        <v>16000</v>
      </c>
      <c r="N866" s="21">
        <f t="shared" si="6"/>
        <v>1</v>
      </c>
    </row>
    <row r="867" ht="13.5" customHeight="1">
      <c r="B867" s="45" t="s">
        <v>2872</v>
      </c>
      <c r="C867" s="6" t="s">
        <v>3126</v>
      </c>
      <c r="D867" s="6">
        <v>1.0</v>
      </c>
      <c r="E867" s="6">
        <v>0.0</v>
      </c>
      <c r="F867" s="6">
        <v>0.0</v>
      </c>
      <c r="G867" s="6">
        <v>1.0</v>
      </c>
      <c r="H867" s="6">
        <v>16000.0</v>
      </c>
      <c r="I867" s="6">
        <v>1.0</v>
      </c>
      <c r="M867" s="16">
        <f t="shared" si="5"/>
        <v>16000</v>
      </c>
      <c r="N867" s="21">
        <f t="shared" si="6"/>
        <v>1</v>
      </c>
    </row>
    <row r="868" ht="13.5" customHeight="1">
      <c r="B868" s="45" t="s">
        <v>2872</v>
      </c>
      <c r="C868" s="6" t="s">
        <v>3129</v>
      </c>
      <c r="D868" s="6">
        <v>1.0</v>
      </c>
      <c r="E868" s="6">
        <v>0.0</v>
      </c>
      <c r="F868" s="6">
        <v>0.0</v>
      </c>
      <c r="G868" s="6">
        <v>1.0</v>
      </c>
      <c r="H868" s="6">
        <v>16000.0</v>
      </c>
      <c r="I868" s="6">
        <v>1.0</v>
      </c>
      <c r="M868" s="16">
        <f t="shared" si="5"/>
        <v>16000</v>
      </c>
      <c r="N868" s="21">
        <f t="shared" si="6"/>
        <v>1</v>
      </c>
    </row>
    <row r="869" ht="13.5" customHeight="1">
      <c r="B869" s="45" t="s">
        <v>2872</v>
      </c>
      <c r="C869" s="6" t="s">
        <v>3133</v>
      </c>
      <c r="D869" s="6">
        <v>1.0</v>
      </c>
      <c r="E869" s="6">
        <v>0.0</v>
      </c>
      <c r="F869" s="6">
        <v>0.0</v>
      </c>
      <c r="G869" s="6">
        <v>1.0</v>
      </c>
      <c r="H869" s="6">
        <v>16000.0</v>
      </c>
      <c r="I869" s="6">
        <v>1.0</v>
      </c>
      <c r="M869" s="16">
        <f t="shared" si="5"/>
        <v>16000</v>
      </c>
      <c r="N869" s="21">
        <f t="shared" si="6"/>
        <v>1</v>
      </c>
    </row>
    <row r="870" ht="13.5" customHeight="1">
      <c r="B870" s="45" t="s">
        <v>2872</v>
      </c>
      <c r="C870" s="6" t="s">
        <v>3137</v>
      </c>
      <c r="D870" s="6">
        <v>1.0</v>
      </c>
      <c r="E870" s="6">
        <v>0.0</v>
      </c>
      <c r="F870" s="6">
        <v>0.0</v>
      </c>
      <c r="G870" s="6">
        <v>1.0</v>
      </c>
      <c r="H870" s="6">
        <v>16000.0</v>
      </c>
      <c r="I870" s="6">
        <v>1.0</v>
      </c>
      <c r="M870" s="16">
        <f t="shared" si="5"/>
        <v>16000</v>
      </c>
      <c r="N870" s="21">
        <f t="shared" si="6"/>
        <v>1</v>
      </c>
    </row>
    <row r="871" ht="13.5" customHeight="1">
      <c r="B871" s="44"/>
      <c r="C871" s="6" t="s">
        <v>3140</v>
      </c>
      <c r="D871" s="6">
        <v>1.0</v>
      </c>
      <c r="E871" s="6">
        <v>1.0</v>
      </c>
      <c r="F871" s="6">
        <v>0.0</v>
      </c>
      <c r="G871" s="6">
        <v>1.0</v>
      </c>
      <c r="H871" s="6">
        <v>20000.0</v>
      </c>
      <c r="I871" s="6">
        <v>1.0</v>
      </c>
      <c r="M871" s="16">
        <f t="shared" si="5"/>
        <v>20000</v>
      </c>
      <c r="N871" s="21">
        <f t="shared" si="6"/>
        <v>0</v>
      </c>
    </row>
    <row r="872" ht="13.5" customHeight="1">
      <c r="B872" s="45" t="s">
        <v>2872</v>
      </c>
      <c r="C872" s="6" t="s">
        <v>3144</v>
      </c>
      <c r="D872" s="6">
        <v>1.0</v>
      </c>
      <c r="E872" s="6">
        <v>0.0</v>
      </c>
      <c r="F872" s="6">
        <v>0.0</v>
      </c>
      <c r="G872" s="6">
        <v>1.0</v>
      </c>
      <c r="H872" s="6">
        <v>20000.0</v>
      </c>
      <c r="I872" s="6">
        <v>1.0</v>
      </c>
      <c r="M872" s="16">
        <f t="shared" si="5"/>
        <v>20000</v>
      </c>
      <c r="N872" s="21">
        <f t="shared" si="6"/>
        <v>0</v>
      </c>
    </row>
    <row r="873" ht="13.5" customHeight="1">
      <c r="B873" s="45" t="s">
        <v>2872</v>
      </c>
      <c r="C873" s="6" t="s">
        <v>3147</v>
      </c>
      <c r="D873" s="6">
        <v>1.0</v>
      </c>
      <c r="E873" s="6">
        <v>0.0</v>
      </c>
      <c r="F873" s="6">
        <v>0.0</v>
      </c>
      <c r="G873" s="6">
        <v>1.0</v>
      </c>
      <c r="H873" s="6">
        <v>20000.0</v>
      </c>
      <c r="I873" s="6">
        <v>1.0</v>
      </c>
      <c r="M873" s="16">
        <f t="shared" si="5"/>
        <v>20000</v>
      </c>
      <c r="N873" s="21">
        <f t="shared" si="6"/>
        <v>0</v>
      </c>
    </row>
    <row r="874" ht="13.5" customHeight="1">
      <c r="B874" s="45" t="s">
        <v>2872</v>
      </c>
      <c r="C874" s="6" t="s">
        <v>3153</v>
      </c>
      <c r="D874" s="6">
        <v>1.0</v>
      </c>
      <c r="E874" s="6">
        <v>0.0</v>
      </c>
      <c r="F874" s="6">
        <v>0.0</v>
      </c>
      <c r="G874" s="6">
        <v>1.0</v>
      </c>
      <c r="H874" s="6">
        <v>20000.0</v>
      </c>
      <c r="I874" s="6">
        <v>1.0</v>
      </c>
      <c r="M874" s="16">
        <f t="shared" si="5"/>
        <v>20000</v>
      </c>
      <c r="N874" s="21">
        <f t="shared" si="6"/>
        <v>0</v>
      </c>
    </row>
    <row r="875" ht="13.5" customHeight="1">
      <c r="B875" s="45" t="s">
        <v>2872</v>
      </c>
      <c r="C875" s="6" t="s">
        <v>3157</v>
      </c>
      <c r="D875" s="6">
        <v>1.0</v>
      </c>
      <c r="E875" s="6">
        <v>0.0</v>
      </c>
      <c r="F875" s="6">
        <v>0.0</v>
      </c>
      <c r="G875" s="6">
        <v>1.0</v>
      </c>
      <c r="H875" s="6">
        <v>20000.0</v>
      </c>
      <c r="I875" s="6">
        <v>1.0</v>
      </c>
      <c r="M875" s="16">
        <f t="shared" si="5"/>
        <v>20000</v>
      </c>
      <c r="N875" s="21">
        <f t="shared" si="6"/>
        <v>0</v>
      </c>
    </row>
    <row r="876" ht="13.5" customHeight="1">
      <c r="B876" s="45" t="s">
        <v>2872</v>
      </c>
      <c r="C876" s="6" t="s">
        <v>3159</v>
      </c>
      <c r="D876" s="6">
        <v>1.0</v>
      </c>
      <c r="E876" s="6">
        <v>0.0</v>
      </c>
      <c r="F876" s="6">
        <v>0.0</v>
      </c>
      <c r="G876" s="6">
        <v>1.0</v>
      </c>
      <c r="H876" s="6">
        <v>20000.0</v>
      </c>
      <c r="I876" s="6">
        <v>1.0</v>
      </c>
      <c r="M876" s="16">
        <f t="shared" si="5"/>
        <v>20000</v>
      </c>
      <c r="N876" s="21">
        <f t="shared" si="6"/>
        <v>0</v>
      </c>
    </row>
    <row r="877" ht="13.5" customHeight="1">
      <c r="B877" s="44"/>
      <c r="C877" s="6" t="s">
        <v>3160</v>
      </c>
      <c r="D877" s="6">
        <v>1.0</v>
      </c>
      <c r="E877" s="6">
        <v>1.0</v>
      </c>
      <c r="F877" s="6">
        <v>0.0</v>
      </c>
      <c r="G877" s="6">
        <v>1.0</v>
      </c>
      <c r="H877" s="6">
        <v>19000.0</v>
      </c>
      <c r="I877" s="6">
        <v>1.0</v>
      </c>
      <c r="M877" s="16">
        <f t="shared" si="5"/>
        <v>19000</v>
      </c>
      <c r="N877" s="21">
        <f t="shared" si="6"/>
        <v>1</v>
      </c>
    </row>
    <row r="878" ht="13.5" customHeight="1">
      <c r="B878" s="45" t="s">
        <v>2872</v>
      </c>
      <c r="C878" s="6" t="s">
        <v>3162</v>
      </c>
      <c r="D878" s="6">
        <v>1.0</v>
      </c>
      <c r="E878" s="6">
        <v>0.0</v>
      </c>
      <c r="F878" s="6">
        <v>0.0</v>
      </c>
      <c r="G878" s="6">
        <v>1.0</v>
      </c>
      <c r="H878" s="6">
        <v>19000.0</v>
      </c>
      <c r="I878" s="6">
        <v>1.0</v>
      </c>
      <c r="M878" s="16">
        <f t="shared" si="5"/>
        <v>19000</v>
      </c>
      <c r="N878" s="21">
        <f t="shared" si="6"/>
        <v>1</v>
      </c>
    </row>
    <row r="879" ht="13.5" customHeight="1">
      <c r="B879" s="45" t="s">
        <v>2872</v>
      </c>
      <c r="C879" s="6" t="s">
        <v>3164</v>
      </c>
      <c r="D879" s="6">
        <v>1.0</v>
      </c>
      <c r="E879" s="6">
        <v>0.0</v>
      </c>
      <c r="F879" s="6">
        <v>0.0</v>
      </c>
      <c r="G879" s="6">
        <v>1.0</v>
      </c>
      <c r="H879" s="6">
        <v>19000.0</v>
      </c>
      <c r="I879" s="6">
        <v>1.0</v>
      </c>
      <c r="M879" s="16">
        <f t="shared" si="5"/>
        <v>19000</v>
      </c>
      <c r="N879" s="21">
        <f t="shared" si="6"/>
        <v>1</v>
      </c>
    </row>
    <row r="880" ht="13.5" customHeight="1">
      <c r="B880" s="44"/>
      <c r="C880" s="3" t="s">
        <v>3167</v>
      </c>
      <c r="D880" s="6">
        <v>1.0</v>
      </c>
      <c r="E880" s="6">
        <v>1.0</v>
      </c>
      <c r="F880" s="6">
        <v>0.0</v>
      </c>
      <c r="G880" s="6">
        <v>1.0</v>
      </c>
      <c r="H880" s="6">
        <v>22000.0</v>
      </c>
      <c r="I880" s="6">
        <v>1.0</v>
      </c>
      <c r="M880" s="16">
        <f t="shared" si="5"/>
        <v>22000</v>
      </c>
      <c r="N880" s="21">
        <f t="shared" si="6"/>
        <v>0</v>
      </c>
    </row>
    <row r="881" ht="13.5" customHeight="1">
      <c r="B881" s="45" t="s">
        <v>2872</v>
      </c>
      <c r="C881" s="3" t="s">
        <v>3171</v>
      </c>
      <c r="D881" s="6">
        <v>1.0</v>
      </c>
      <c r="E881" s="6">
        <v>0.0</v>
      </c>
      <c r="F881" s="6">
        <v>0.0</v>
      </c>
      <c r="G881" s="6">
        <v>1.0</v>
      </c>
      <c r="H881" s="6">
        <v>22000.0</v>
      </c>
      <c r="I881" s="6">
        <v>1.0</v>
      </c>
      <c r="M881" s="16">
        <f t="shared" si="5"/>
        <v>22000</v>
      </c>
      <c r="N881" s="21">
        <f t="shared" si="6"/>
        <v>0</v>
      </c>
    </row>
    <row r="882" ht="13.5" customHeight="1">
      <c r="B882" s="45" t="s">
        <v>2872</v>
      </c>
      <c r="C882" s="3" t="s">
        <v>3175</v>
      </c>
      <c r="D882" s="6">
        <v>1.0</v>
      </c>
      <c r="E882" s="6">
        <v>0.0</v>
      </c>
      <c r="F882" s="6">
        <v>0.0</v>
      </c>
      <c r="G882" s="6">
        <v>1.0</v>
      </c>
      <c r="H882" s="6">
        <v>22000.0</v>
      </c>
      <c r="I882" s="6">
        <v>1.0</v>
      </c>
      <c r="M882" s="16">
        <f t="shared" si="5"/>
        <v>22000</v>
      </c>
      <c r="N882" s="21">
        <f t="shared" si="6"/>
        <v>0</v>
      </c>
    </row>
    <row r="883" ht="13.5" customHeight="1">
      <c r="B883" s="45" t="s">
        <v>2872</v>
      </c>
      <c r="C883" s="3" t="s">
        <v>3178</v>
      </c>
      <c r="D883" s="6">
        <v>1.0</v>
      </c>
      <c r="E883" s="6">
        <v>0.0</v>
      </c>
      <c r="F883" s="6">
        <v>0.0</v>
      </c>
      <c r="G883" s="6">
        <v>1.0</v>
      </c>
      <c r="H883" s="6">
        <v>22000.0</v>
      </c>
      <c r="I883" s="6">
        <v>1.0</v>
      </c>
      <c r="M883" s="16">
        <f t="shared" si="5"/>
        <v>22000</v>
      </c>
      <c r="N883" s="21">
        <f t="shared" si="6"/>
        <v>0</v>
      </c>
    </row>
    <row r="884" ht="13.5" customHeight="1">
      <c r="B884" s="44"/>
      <c r="C884" s="3" t="s">
        <v>3181</v>
      </c>
      <c r="D884" s="6">
        <v>1.0</v>
      </c>
      <c r="E884" s="6">
        <v>1.0</v>
      </c>
      <c r="F884" s="6">
        <v>0.0</v>
      </c>
      <c r="G884" s="6">
        <v>1.0</v>
      </c>
      <c r="H884" s="6">
        <v>23000.0</v>
      </c>
      <c r="I884" s="6">
        <v>1.0</v>
      </c>
      <c r="M884" s="16">
        <f t="shared" si="5"/>
        <v>23000</v>
      </c>
      <c r="N884" s="21">
        <f t="shared" si="6"/>
        <v>0</v>
      </c>
    </row>
    <row r="885" ht="13.5" customHeight="1">
      <c r="B885" s="45" t="s">
        <v>2872</v>
      </c>
      <c r="C885" s="3" t="s">
        <v>3185</v>
      </c>
      <c r="D885" s="6">
        <v>1.0</v>
      </c>
      <c r="E885" s="6">
        <v>0.0</v>
      </c>
      <c r="F885" s="6">
        <v>0.0</v>
      </c>
      <c r="G885" s="6">
        <v>1.0</v>
      </c>
      <c r="H885" s="6">
        <v>23000.0</v>
      </c>
      <c r="I885" s="6">
        <v>1.0</v>
      </c>
      <c r="M885" s="16">
        <f t="shared" si="5"/>
        <v>23000</v>
      </c>
      <c r="N885" s="21">
        <f t="shared" si="6"/>
        <v>0</v>
      </c>
    </row>
    <row r="886" ht="13.5" customHeight="1">
      <c r="B886" s="45" t="s">
        <v>2872</v>
      </c>
      <c r="C886" s="3" t="s">
        <v>3189</v>
      </c>
      <c r="D886" s="6">
        <v>1.0</v>
      </c>
      <c r="E886" s="6">
        <v>0.0</v>
      </c>
      <c r="F886" s="6">
        <v>0.0</v>
      </c>
      <c r="G886" s="6">
        <v>1.0</v>
      </c>
      <c r="H886" s="6">
        <v>23000.0</v>
      </c>
      <c r="I886" s="6">
        <v>1.0</v>
      </c>
      <c r="M886" s="16">
        <f t="shared" si="5"/>
        <v>23000</v>
      </c>
      <c r="N886" s="21">
        <f t="shared" si="6"/>
        <v>0</v>
      </c>
    </row>
    <row r="887" ht="13.5" customHeight="1">
      <c r="B887" s="45" t="s">
        <v>2872</v>
      </c>
      <c r="C887" s="3" t="s">
        <v>3193</v>
      </c>
      <c r="D887" s="6">
        <v>1.0</v>
      </c>
      <c r="E887" s="6">
        <v>0.0</v>
      </c>
      <c r="F887" s="6">
        <v>0.0</v>
      </c>
      <c r="G887" s="6">
        <v>1.0</v>
      </c>
      <c r="H887" s="6">
        <v>23000.0</v>
      </c>
      <c r="I887" s="6">
        <v>1.0</v>
      </c>
      <c r="M887" s="16">
        <f t="shared" si="5"/>
        <v>23000</v>
      </c>
      <c r="N887" s="21">
        <f t="shared" si="6"/>
        <v>0</v>
      </c>
    </row>
    <row r="888" ht="13.5" customHeight="1">
      <c r="B888" s="44"/>
      <c r="C888" s="6" t="s">
        <v>3197</v>
      </c>
      <c r="D888" s="6">
        <v>1.0</v>
      </c>
      <c r="E888" s="6">
        <v>1.0</v>
      </c>
      <c r="F888" s="6">
        <v>0.0</v>
      </c>
      <c r="G888" s="6">
        <v>1.0</v>
      </c>
      <c r="H888" s="6">
        <v>30000.0</v>
      </c>
      <c r="I888" s="6">
        <v>1.0</v>
      </c>
      <c r="M888" s="16">
        <f t="shared" si="5"/>
        <v>30000</v>
      </c>
      <c r="N888" s="21">
        <f t="shared" si="6"/>
        <v>0</v>
      </c>
    </row>
    <row r="889" ht="13.5" customHeight="1">
      <c r="B889" s="45" t="s">
        <v>2872</v>
      </c>
      <c r="C889" s="6" t="s">
        <v>3200</v>
      </c>
      <c r="D889" s="6">
        <v>1.0</v>
      </c>
      <c r="E889" s="6">
        <v>0.0</v>
      </c>
      <c r="F889" s="6">
        <v>0.0</v>
      </c>
      <c r="G889" s="6">
        <v>1.0</v>
      </c>
      <c r="H889" s="6">
        <v>30000.0</v>
      </c>
      <c r="I889" s="6">
        <v>1.0</v>
      </c>
      <c r="M889" s="16">
        <f t="shared" si="5"/>
        <v>30000</v>
      </c>
      <c r="N889" s="21">
        <f t="shared" si="6"/>
        <v>0</v>
      </c>
    </row>
    <row r="890" ht="13.5" customHeight="1">
      <c r="B890" s="45" t="s">
        <v>2872</v>
      </c>
      <c r="C890" s="6" t="s">
        <v>3204</v>
      </c>
      <c r="D890" s="6">
        <v>1.0</v>
      </c>
      <c r="E890" s="6">
        <v>0.0</v>
      </c>
      <c r="F890" s="6">
        <v>0.0</v>
      </c>
      <c r="G890" s="6">
        <v>1.0</v>
      </c>
      <c r="H890" s="6">
        <v>30000.0</v>
      </c>
      <c r="I890" s="6">
        <v>1.0</v>
      </c>
      <c r="M890" s="16">
        <f t="shared" si="5"/>
        <v>30000</v>
      </c>
      <c r="N890" s="21">
        <f t="shared" si="6"/>
        <v>0</v>
      </c>
    </row>
    <row r="891" ht="13.5" customHeight="1">
      <c r="B891" s="45" t="s">
        <v>2872</v>
      </c>
      <c r="C891" s="6" t="s">
        <v>3209</v>
      </c>
      <c r="D891" s="6">
        <v>1.0</v>
      </c>
      <c r="E891" s="6">
        <v>0.0</v>
      </c>
      <c r="F891" s="6">
        <v>0.0</v>
      </c>
      <c r="G891" s="6">
        <v>1.0</v>
      </c>
      <c r="H891" s="6">
        <v>30000.0</v>
      </c>
      <c r="I891" s="6">
        <v>1.0</v>
      </c>
      <c r="M891" s="16">
        <f t="shared" si="5"/>
        <v>30000</v>
      </c>
      <c r="N891" s="21">
        <f t="shared" si="6"/>
        <v>0</v>
      </c>
    </row>
    <row r="892" ht="13.5" customHeight="1">
      <c r="B892" s="45" t="s">
        <v>2872</v>
      </c>
      <c r="C892" s="6" t="s">
        <v>3213</v>
      </c>
      <c r="D892" s="6">
        <v>1.0</v>
      </c>
      <c r="E892" s="6">
        <v>0.0</v>
      </c>
      <c r="F892" s="6">
        <v>0.0</v>
      </c>
      <c r="G892" s="6">
        <v>1.0</v>
      </c>
      <c r="H892" s="6">
        <v>30000.0</v>
      </c>
      <c r="I892" s="6">
        <v>1.0</v>
      </c>
      <c r="M892" s="16">
        <f t="shared" si="5"/>
        <v>30000</v>
      </c>
      <c r="N892" s="21">
        <f t="shared" si="6"/>
        <v>0</v>
      </c>
    </row>
    <row r="893" ht="13.5" customHeight="1">
      <c r="B893" s="45" t="s">
        <v>2872</v>
      </c>
      <c r="C893" s="6" t="s">
        <v>3216</v>
      </c>
      <c r="D893" s="6">
        <v>1.0</v>
      </c>
      <c r="E893" s="6">
        <v>0.0</v>
      </c>
      <c r="F893" s="6">
        <v>0.0</v>
      </c>
      <c r="G893" s="6">
        <v>1.0</v>
      </c>
      <c r="H893" s="6">
        <v>30000.0</v>
      </c>
      <c r="I893" s="6">
        <v>1.0</v>
      </c>
      <c r="M893" s="16">
        <f t="shared" si="5"/>
        <v>30000</v>
      </c>
      <c r="N893" s="21">
        <f t="shared" si="6"/>
        <v>0</v>
      </c>
    </row>
    <row r="894" ht="13.5" customHeight="1">
      <c r="B894" s="45" t="s">
        <v>2872</v>
      </c>
      <c r="C894" s="6" t="s">
        <v>3218</v>
      </c>
      <c r="D894" s="6">
        <v>1.0</v>
      </c>
      <c r="E894" s="6">
        <v>0.0</v>
      </c>
      <c r="F894" s="6">
        <v>0.0</v>
      </c>
      <c r="G894" s="6">
        <v>1.0</v>
      </c>
      <c r="H894" s="6">
        <v>30000.0</v>
      </c>
      <c r="I894" s="6">
        <v>1.0</v>
      </c>
      <c r="M894" s="16">
        <f t="shared" si="5"/>
        <v>30000</v>
      </c>
      <c r="N894" s="21">
        <f t="shared" si="6"/>
        <v>0</v>
      </c>
    </row>
    <row r="895" ht="13.5" customHeight="1">
      <c r="B895" s="45" t="s">
        <v>2872</v>
      </c>
      <c r="C895" s="6" t="s">
        <v>3220</v>
      </c>
      <c r="D895" s="6">
        <v>1.0</v>
      </c>
      <c r="E895" s="6">
        <v>0.0</v>
      </c>
      <c r="F895" s="6">
        <v>0.0</v>
      </c>
      <c r="G895" s="6">
        <v>1.0</v>
      </c>
      <c r="H895" s="6">
        <v>30000.0</v>
      </c>
      <c r="I895" s="6">
        <v>1.0</v>
      </c>
      <c r="M895" s="16">
        <f t="shared" si="5"/>
        <v>30000</v>
      </c>
      <c r="N895" s="21">
        <f t="shared" si="6"/>
        <v>0</v>
      </c>
    </row>
    <row r="896" ht="13.5" customHeight="1">
      <c r="B896" s="45" t="s">
        <v>2872</v>
      </c>
      <c r="C896" s="6" t="s">
        <v>3222</v>
      </c>
      <c r="D896" s="6">
        <v>1.0</v>
      </c>
      <c r="E896" s="6">
        <v>0.0</v>
      </c>
      <c r="F896" s="6">
        <v>0.0</v>
      </c>
      <c r="G896" s="6">
        <v>1.0</v>
      </c>
      <c r="H896" s="6">
        <v>30000.0</v>
      </c>
      <c r="I896" s="6">
        <v>1.0</v>
      </c>
      <c r="M896" s="16">
        <f t="shared" si="5"/>
        <v>30000</v>
      </c>
      <c r="N896" s="21">
        <f t="shared" si="6"/>
        <v>0</v>
      </c>
    </row>
    <row r="897" ht="13.5" customHeight="1">
      <c r="B897" s="45" t="s">
        <v>2872</v>
      </c>
      <c r="C897" s="6" t="s">
        <v>3226</v>
      </c>
      <c r="D897" s="6">
        <v>1.0</v>
      </c>
      <c r="E897" s="6">
        <v>0.0</v>
      </c>
      <c r="F897" s="6">
        <v>0.0</v>
      </c>
      <c r="G897" s="6">
        <v>1.0</v>
      </c>
      <c r="H897" s="6">
        <v>30000.0</v>
      </c>
      <c r="I897" s="6">
        <v>1.0</v>
      </c>
      <c r="M897" s="16">
        <f t="shared" si="5"/>
        <v>30000</v>
      </c>
      <c r="N897" s="21">
        <f t="shared" si="6"/>
        <v>0</v>
      </c>
    </row>
    <row r="898" ht="13.5" customHeight="1">
      <c r="B898" s="45" t="s">
        <v>2872</v>
      </c>
      <c r="C898" s="6" t="s">
        <v>3230</v>
      </c>
      <c r="D898" s="6">
        <v>1.0</v>
      </c>
      <c r="E898" s="6">
        <v>0.0</v>
      </c>
      <c r="F898" s="6">
        <v>0.0</v>
      </c>
      <c r="G898" s="6">
        <v>1.0</v>
      </c>
      <c r="H898" s="6">
        <v>30000.0</v>
      </c>
      <c r="I898" s="6">
        <v>1.0</v>
      </c>
      <c r="M898" s="16">
        <f t="shared" si="5"/>
        <v>30000</v>
      </c>
      <c r="N898" s="21">
        <f t="shared" si="6"/>
        <v>0</v>
      </c>
    </row>
    <row r="899" ht="13.5" customHeight="1">
      <c r="B899" s="45" t="s">
        <v>2872</v>
      </c>
      <c r="C899" s="6" t="s">
        <v>3234</v>
      </c>
      <c r="D899" s="6">
        <v>1.0</v>
      </c>
      <c r="E899" s="6">
        <v>0.0</v>
      </c>
      <c r="F899" s="6">
        <v>0.0</v>
      </c>
      <c r="G899" s="6">
        <v>1.0</v>
      </c>
      <c r="H899" s="6">
        <v>30000.0</v>
      </c>
      <c r="I899" s="6">
        <v>1.0</v>
      </c>
      <c r="M899" s="16">
        <f t="shared" si="5"/>
        <v>30000</v>
      </c>
      <c r="N899" s="21">
        <f t="shared" si="6"/>
        <v>0</v>
      </c>
    </row>
    <row r="900" ht="13.5" customHeight="1">
      <c r="A900" s="25"/>
      <c r="B900" s="2"/>
      <c r="C900" s="6" t="s">
        <v>3237</v>
      </c>
      <c r="D900" s="6">
        <v>1.0</v>
      </c>
      <c r="E900" s="6">
        <v>1.0</v>
      </c>
      <c r="F900" s="6">
        <v>0.0</v>
      </c>
      <c r="G900" s="6">
        <v>1.0</v>
      </c>
      <c r="H900" s="6">
        <v>40000.0</v>
      </c>
      <c r="I900" s="6">
        <v>1.0</v>
      </c>
      <c r="M900" s="16">
        <f t="shared" si="5"/>
        <v>40000</v>
      </c>
      <c r="N900" s="21">
        <f t="shared" si="6"/>
        <v>0</v>
      </c>
    </row>
    <row r="901" ht="13.5" customHeight="1">
      <c r="A901" s="25"/>
      <c r="B901" s="2"/>
      <c r="C901" s="6" t="s">
        <v>3240</v>
      </c>
      <c r="D901" s="6">
        <v>1.0</v>
      </c>
      <c r="E901" s="6">
        <v>1.0</v>
      </c>
      <c r="F901" s="6">
        <v>0.0</v>
      </c>
      <c r="G901" s="6">
        <v>1.0</v>
      </c>
      <c r="H901" s="6">
        <v>43000.0</v>
      </c>
      <c r="I901" s="6">
        <v>1.0</v>
      </c>
      <c r="M901" s="16">
        <f t="shared" si="5"/>
        <v>43000</v>
      </c>
      <c r="N901" s="21">
        <f t="shared" si="6"/>
        <v>0</v>
      </c>
    </row>
    <row r="902" ht="13.5" customHeight="1">
      <c r="A902" s="25"/>
      <c r="B902" s="2"/>
      <c r="C902" s="6" t="s">
        <v>3242</v>
      </c>
      <c r="D902" s="6">
        <v>1.0</v>
      </c>
      <c r="E902" s="6">
        <v>1.0</v>
      </c>
      <c r="F902" s="6">
        <v>0.0</v>
      </c>
      <c r="G902" s="6">
        <v>1.0</v>
      </c>
      <c r="H902" s="6">
        <v>45000.0</v>
      </c>
      <c r="I902" s="6">
        <v>1.0</v>
      </c>
      <c r="M902" s="16">
        <f t="shared" si="5"/>
        <v>45000</v>
      </c>
      <c r="N902" s="21">
        <f t="shared" si="6"/>
        <v>0</v>
      </c>
    </row>
    <row r="903" ht="13.5" customHeight="1">
      <c r="A903" s="25"/>
      <c r="B903" s="2"/>
      <c r="C903" s="6" t="s">
        <v>3247</v>
      </c>
      <c r="D903" s="6">
        <v>1.0</v>
      </c>
      <c r="E903" s="6">
        <v>1.0</v>
      </c>
      <c r="F903" s="6">
        <v>0.0</v>
      </c>
      <c r="G903" s="6">
        <v>1.0</v>
      </c>
      <c r="H903" s="6">
        <v>28000.0</v>
      </c>
      <c r="I903" s="6">
        <v>1.0</v>
      </c>
      <c r="M903" s="16">
        <f t="shared" si="5"/>
        <v>28000</v>
      </c>
      <c r="N903" s="21">
        <f t="shared" si="6"/>
        <v>0</v>
      </c>
    </row>
    <row r="904" ht="13.5" customHeight="1">
      <c r="A904" s="25"/>
      <c r="B904" s="2"/>
      <c r="C904" s="6" t="s">
        <v>3249</v>
      </c>
      <c r="D904" s="6">
        <v>1.0</v>
      </c>
      <c r="E904" s="6">
        <v>1.0</v>
      </c>
      <c r="F904" s="6">
        <v>0.0</v>
      </c>
      <c r="G904" s="6">
        <v>1.0</v>
      </c>
      <c r="H904" s="6">
        <v>32000.0</v>
      </c>
      <c r="I904" s="6">
        <v>1.0</v>
      </c>
      <c r="M904" s="16">
        <f t="shared" si="5"/>
        <v>32000</v>
      </c>
      <c r="N904" s="21">
        <f t="shared" si="6"/>
        <v>0</v>
      </c>
    </row>
    <row r="905" ht="13.5" customHeight="1">
      <c r="A905" s="25"/>
      <c r="B905" s="2"/>
      <c r="C905" s="6" t="s">
        <v>3252</v>
      </c>
      <c r="D905" s="6">
        <v>1.0</v>
      </c>
      <c r="E905" s="6">
        <v>1.0</v>
      </c>
      <c r="F905" s="6">
        <v>0.0</v>
      </c>
      <c r="G905" s="6">
        <v>1.0</v>
      </c>
      <c r="H905" s="6">
        <v>36000.0</v>
      </c>
      <c r="I905" s="6">
        <v>1.0</v>
      </c>
      <c r="M905" s="16">
        <f t="shared" si="5"/>
        <v>36000</v>
      </c>
      <c r="N905" s="21">
        <f t="shared" si="6"/>
        <v>0</v>
      </c>
    </row>
    <row r="906" ht="13.5" customHeight="1">
      <c r="A906" s="25"/>
      <c r="B906" s="2"/>
      <c r="C906" t="s">
        <v>3255</v>
      </c>
      <c r="D906" s="6">
        <v>1.0</v>
      </c>
      <c r="E906" s="6">
        <v>1.0</v>
      </c>
      <c r="F906" s="6">
        <v>0.0</v>
      </c>
      <c r="G906" s="6">
        <v>1.0</v>
      </c>
      <c r="H906" s="65">
        <v>15000.0</v>
      </c>
      <c r="I906" s="6">
        <v>1.0</v>
      </c>
      <c r="J906" s="35"/>
      <c r="K906" s="35"/>
      <c r="L906" s="35"/>
      <c r="M906" s="16">
        <f t="shared" si="5"/>
        <v>15000</v>
      </c>
      <c r="N906" s="21">
        <f t="shared" si="6"/>
        <v>1</v>
      </c>
    </row>
    <row r="907" ht="13.5" customHeight="1">
      <c r="A907" s="25"/>
      <c r="B907" s="2"/>
      <c r="C907" t="s">
        <v>3258</v>
      </c>
      <c r="D907" s="6">
        <v>1.0</v>
      </c>
      <c r="E907" s="6">
        <v>1.0</v>
      </c>
      <c r="F907" s="6">
        <v>0.0</v>
      </c>
      <c r="G907" s="6">
        <v>1.0</v>
      </c>
      <c r="H907" s="65">
        <v>15000.0</v>
      </c>
      <c r="I907" s="6">
        <v>1.0</v>
      </c>
      <c r="J907" s="35"/>
      <c r="K907" s="35"/>
      <c r="L907" s="35"/>
      <c r="M907" s="16">
        <f t="shared" si="5"/>
        <v>15000</v>
      </c>
      <c r="N907" s="21">
        <f t="shared" si="6"/>
        <v>1</v>
      </c>
    </row>
    <row r="908" ht="13.5" customHeight="1">
      <c r="A908" s="25"/>
      <c r="B908" s="2"/>
      <c r="C908" t="s">
        <v>3261</v>
      </c>
      <c r="D908" s="6">
        <v>1.0</v>
      </c>
      <c r="E908" s="6">
        <v>1.0</v>
      </c>
      <c r="F908" s="6">
        <v>0.0</v>
      </c>
      <c r="G908" s="6">
        <v>1.0</v>
      </c>
      <c r="H908" s="65">
        <v>15000.0</v>
      </c>
      <c r="I908" s="6">
        <v>1.0</v>
      </c>
      <c r="J908" s="35"/>
      <c r="K908" s="35"/>
      <c r="L908" s="35"/>
      <c r="M908" s="16">
        <f t="shared" si="5"/>
        <v>15000</v>
      </c>
      <c r="N908" s="21">
        <f t="shared" si="6"/>
        <v>1</v>
      </c>
    </row>
    <row r="909" ht="13.5" customHeight="1">
      <c r="A909" s="25"/>
      <c r="B909" s="2"/>
      <c r="C909" t="s">
        <v>3263</v>
      </c>
      <c r="D909" s="6">
        <v>1.0</v>
      </c>
      <c r="E909" s="6">
        <v>1.0</v>
      </c>
      <c r="F909" s="6">
        <v>0.0</v>
      </c>
      <c r="G909" s="6">
        <v>1.0</v>
      </c>
      <c r="H909" s="65">
        <v>20000.0</v>
      </c>
      <c r="I909" s="6">
        <v>1.0</v>
      </c>
      <c r="J909" s="35"/>
      <c r="K909" s="35"/>
      <c r="L909" s="35"/>
      <c r="M909" s="16">
        <f t="shared" si="5"/>
        <v>20000</v>
      </c>
      <c r="N909" s="21">
        <f t="shared" si="6"/>
        <v>0</v>
      </c>
    </row>
    <row r="910" ht="13.5" customHeight="1">
      <c r="A910" s="25"/>
      <c r="B910" s="2"/>
      <c r="C910" t="s">
        <v>3266</v>
      </c>
      <c r="D910" s="6">
        <v>1.0</v>
      </c>
      <c r="E910" s="6">
        <v>1.0</v>
      </c>
      <c r="F910" s="6">
        <v>0.0</v>
      </c>
      <c r="G910" s="6">
        <v>1.0</v>
      </c>
      <c r="H910" s="65">
        <v>35000.0</v>
      </c>
      <c r="I910" s="6">
        <v>1.0</v>
      </c>
      <c r="J910" s="35"/>
      <c r="K910" s="35"/>
      <c r="L910" s="35"/>
      <c r="M910" s="16">
        <f t="shared" si="5"/>
        <v>35000</v>
      </c>
      <c r="N910" s="21">
        <f t="shared" si="6"/>
        <v>0</v>
      </c>
    </row>
    <row r="911" ht="13.5" customHeight="1">
      <c r="A911" s="25"/>
      <c r="B911" s="2"/>
      <c r="C911" t="s">
        <v>3268</v>
      </c>
      <c r="D911" s="6">
        <v>1.0</v>
      </c>
      <c r="E911" s="6">
        <v>1.0</v>
      </c>
      <c r="F911" s="6">
        <v>0.0</v>
      </c>
      <c r="G911" s="6">
        <v>1.0</v>
      </c>
      <c r="H911" s="70">
        <v>26000.0</v>
      </c>
      <c r="I911" s="6">
        <v>1.0</v>
      </c>
      <c r="J911" s="35"/>
      <c r="K911" s="35"/>
      <c r="L911" s="35"/>
      <c r="M911" s="16">
        <f t="shared" si="5"/>
        <v>26000</v>
      </c>
      <c r="N911" s="21">
        <f t="shared" si="6"/>
        <v>0</v>
      </c>
    </row>
    <row r="912" ht="13.5" customHeight="1">
      <c r="A912" s="25"/>
      <c r="B912" s="2"/>
      <c r="C912" t="s">
        <v>3271</v>
      </c>
      <c r="D912" s="6">
        <v>1.0</v>
      </c>
      <c r="E912" s="6">
        <v>1.0</v>
      </c>
      <c r="F912" s="6">
        <v>0.0</v>
      </c>
      <c r="G912" s="6">
        <v>1.0</v>
      </c>
      <c r="H912" s="70">
        <v>26000.0</v>
      </c>
      <c r="I912" s="6">
        <v>1.0</v>
      </c>
      <c r="J912" s="35"/>
      <c r="K912" s="35"/>
      <c r="L912" s="35"/>
      <c r="M912" s="16">
        <f t="shared" si="5"/>
        <v>26000</v>
      </c>
      <c r="N912" s="21">
        <f t="shared" si="6"/>
        <v>0</v>
      </c>
    </row>
    <row r="913" ht="13.5" customHeight="1">
      <c r="A913" s="25"/>
      <c r="B913" s="2"/>
      <c r="C913" t="s">
        <v>3273</v>
      </c>
      <c r="D913" s="6">
        <v>1.0</v>
      </c>
      <c r="E913" s="6">
        <v>1.0</v>
      </c>
      <c r="F913" s="6">
        <v>0.0</v>
      </c>
      <c r="G913" s="6">
        <v>1.0</v>
      </c>
      <c r="H913" s="65">
        <v>30000.0</v>
      </c>
      <c r="I913" s="6">
        <v>1.0</v>
      </c>
      <c r="J913" s="35"/>
      <c r="K913" s="71">
        <v>5000.0</v>
      </c>
      <c r="L913" s="35"/>
      <c r="M913" s="16">
        <f t="shared" si="5"/>
        <v>35000</v>
      </c>
      <c r="N913" s="21">
        <f t="shared" si="6"/>
        <v>0</v>
      </c>
    </row>
    <row r="914" ht="13.5" customHeight="1">
      <c r="A914" s="25"/>
      <c r="B914" s="2"/>
      <c r="C914" t="s">
        <v>3276</v>
      </c>
      <c r="D914" s="6">
        <v>1.0</v>
      </c>
      <c r="E914" s="6">
        <v>1.0</v>
      </c>
      <c r="F914" s="6">
        <v>0.0</v>
      </c>
      <c r="G914" s="6">
        <v>1.0</v>
      </c>
      <c r="H914" s="70">
        <v>35000.0</v>
      </c>
      <c r="I914" s="6">
        <v>1.0</v>
      </c>
      <c r="J914" s="35"/>
      <c r="K914" s="35"/>
      <c r="L914" s="35"/>
      <c r="M914" s="16">
        <f t="shared" si="5"/>
        <v>35000</v>
      </c>
      <c r="N914" s="21">
        <f t="shared" si="6"/>
        <v>0</v>
      </c>
    </row>
    <row r="915" ht="13.5" customHeight="1">
      <c r="A915" s="25"/>
      <c r="B915" s="2"/>
      <c r="C915" t="s">
        <v>3279</v>
      </c>
      <c r="D915" s="6">
        <v>1.0</v>
      </c>
      <c r="E915" s="6">
        <v>1.0</v>
      </c>
      <c r="F915" s="6">
        <v>0.0</v>
      </c>
      <c r="G915" s="6">
        <v>1.0</v>
      </c>
      <c r="H915" s="70">
        <v>35000.0</v>
      </c>
      <c r="I915" s="6">
        <v>1.0</v>
      </c>
      <c r="J915" s="35"/>
      <c r="K915" s="35"/>
      <c r="L915" s="35"/>
      <c r="M915" s="16">
        <f t="shared" si="5"/>
        <v>35000</v>
      </c>
      <c r="N915" s="21">
        <f t="shared" si="6"/>
        <v>0</v>
      </c>
    </row>
    <row r="916" ht="13.5" customHeight="1">
      <c r="A916" s="25"/>
      <c r="B916" s="2"/>
      <c r="C916" t="s">
        <v>3281</v>
      </c>
      <c r="D916" s="6">
        <v>1.0</v>
      </c>
      <c r="E916" s="6">
        <v>1.0</v>
      </c>
      <c r="F916" s="6">
        <v>0.0</v>
      </c>
      <c r="G916" s="6">
        <v>1.0</v>
      </c>
      <c r="H916" s="70">
        <v>35000.0</v>
      </c>
      <c r="I916" s="6">
        <v>1.0</v>
      </c>
      <c r="J916" s="35"/>
      <c r="K916" s="35"/>
      <c r="L916" s="35"/>
      <c r="M916" s="16">
        <f t="shared" si="5"/>
        <v>35000</v>
      </c>
      <c r="N916" s="21">
        <f t="shared" si="6"/>
        <v>0</v>
      </c>
    </row>
    <row r="917" ht="13.5" customHeight="1">
      <c r="A917" s="25"/>
      <c r="B917" s="2"/>
      <c r="C917" t="s">
        <v>3282</v>
      </c>
      <c r="D917" s="6">
        <v>1.0</v>
      </c>
      <c r="E917" s="6">
        <v>1.0</v>
      </c>
      <c r="F917" s="6">
        <v>0.0</v>
      </c>
      <c r="G917" s="6">
        <v>1.0</v>
      </c>
      <c r="H917" s="70">
        <v>35000.0</v>
      </c>
      <c r="I917" s="6">
        <v>1.0</v>
      </c>
      <c r="J917" s="35"/>
      <c r="K917" s="35"/>
      <c r="L917" s="35"/>
      <c r="M917" s="16">
        <f t="shared" si="5"/>
        <v>35000</v>
      </c>
      <c r="N917" s="21">
        <f t="shared" si="6"/>
        <v>0</v>
      </c>
    </row>
    <row r="918" ht="13.5" customHeight="1">
      <c r="A918" s="25"/>
      <c r="B918" s="2"/>
      <c r="C918" t="s">
        <v>3284</v>
      </c>
      <c r="D918" s="6">
        <v>1.0</v>
      </c>
      <c r="E918" s="6">
        <v>1.0</v>
      </c>
      <c r="F918" s="6">
        <v>0.0</v>
      </c>
      <c r="G918" s="6">
        <v>1.0</v>
      </c>
      <c r="H918" s="70">
        <v>35000.0</v>
      </c>
      <c r="I918" s="6">
        <v>1.0</v>
      </c>
      <c r="J918" s="35"/>
      <c r="K918" s="35"/>
      <c r="L918" s="35"/>
      <c r="M918" s="16">
        <f t="shared" si="5"/>
        <v>35000</v>
      </c>
      <c r="N918" s="21">
        <f t="shared" si="6"/>
        <v>0</v>
      </c>
    </row>
    <row r="919" ht="13.5" customHeight="1">
      <c r="A919" s="25"/>
      <c r="B919" s="2"/>
      <c r="C919" t="s">
        <v>3287</v>
      </c>
      <c r="D919" s="6">
        <v>1.0</v>
      </c>
      <c r="E919" s="6">
        <v>1.0</v>
      </c>
      <c r="F919" s="6">
        <v>0.0</v>
      </c>
      <c r="G919" s="6">
        <v>1.0</v>
      </c>
      <c r="H919" s="70">
        <v>35000.0</v>
      </c>
      <c r="I919" s="6">
        <v>1.0</v>
      </c>
      <c r="J919" s="35"/>
      <c r="K919" s="35"/>
      <c r="L919" s="35"/>
      <c r="M919" s="16">
        <f t="shared" si="5"/>
        <v>35000</v>
      </c>
      <c r="N919" s="21">
        <f t="shared" si="6"/>
        <v>0</v>
      </c>
    </row>
    <row r="920" ht="13.5" customHeight="1">
      <c r="A920" s="25"/>
      <c r="B920" s="2"/>
      <c r="C920" t="s">
        <v>3291</v>
      </c>
      <c r="D920" s="6">
        <v>1.0</v>
      </c>
      <c r="E920" s="6">
        <v>1.0</v>
      </c>
      <c r="F920" s="6">
        <v>0.0</v>
      </c>
      <c r="G920" s="6">
        <v>1.0</v>
      </c>
      <c r="H920" s="70">
        <v>35000.0</v>
      </c>
      <c r="I920" s="6">
        <v>1.0</v>
      </c>
      <c r="J920" s="35"/>
      <c r="K920" s="35"/>
      <c r="L920" s="35"/>
      <c r="M920" s="16">
        <f t="shared" si="5"/>
        <v>35000</v>
      </c>
      <c r="N920" s="21">
        <f t="shared" si="6"/>
        <v>0</v>
      </c>
    </row>
    <row r="921" ht="13.5" customHeight="1">
      <c r="A921" s="25"/>
      <c r="B921" s="2"/>
      <c r="C921" t="s">
        <v>3295</v>
      </c>
      <c r="D921" s="6">
        <v>1.0</v>
      </c>
      <c r="E921" s="6">
        <v>1.0</v>
      </c>
      <c r="F921" s="6">
        <v>0.0</v>
      </c>
      <c r="G921" s="6">
        <v>1.0</v>
      </c>
      <c r="H921" s="70">
        <v>35000.0</v>
      </c>
      <c r="I921" s="6">
        <v>1.0</v>
      </c>
      <c r="J921" s="35"/>
      <c r="K921" s="35"/>
      <c r="L921" s="35"/>
      <c r="M921" s="16">
        <f t="shared" si="5"/>
        <v>35000</v>
      </c>
      <c r="N921" s="21">
        <f t="shared" si="6"/>
        <v>0</v>
      </c>
    </row>
    <row r="922" ht="13.5" customHeight="1">
      <c r="A922" s="25"/>
      <c r="B922" s="2"/>
      <c r="C922" t="s">
        <v>3299</v>
      </c>
      <c r="D922" s="6">
        <v>1.0</v>
      </c>
      <c r="E922" s="6">
        <v>1.0</v>
      </c>
      <c r="F922" s="6">
        <v>0.0</v>
      </c>
      <c r="G922" s="6">
        <v>1.0</v>
      </c>
      <c r="H922" s="70">
        <v>35000.0</v>
      </c>
      <c r="I922" s="6">
        <v>1.0</v>
      </c>
      <c r="J922" s="35"/>
      <c r="K922" s="35"/>
      <c r="L922" s="35"/>
      <c r="M922" s="16">
        <f t="shared" si="5"/>
        <v>35000</v>
      </c>
      <c r="N922" s="21">
        <f t="shared" si="6"/>
        <v>0</v>
      </c>
    </row>
    <row r="923" ht="13.5" customHeight="1">
      <c r="A923" s="25"/>
      <c r="B923" s="2"/>
      <c r="C923" t="s">
        <v>3300</v>
      </c>
      <c r="D923" s="6">
        <v>1.0</v>
      </c>
      <c r="E923" s="6">
        <v>1.0</v>
      </c>
      <c r="F923" s="6">
        <v>0.0</v>
      </c>
      <c r="G923" s="6">
        <v>1.0</v>
      </c>
      <c r="H923" s="70">
        <v>35000.0</v>
      </c>
      <c r="I923" s="6">
        <v>1.0</v>
      </c>
      <c r="J923" s="35"/>
      <c r="K923" s="35"/>
      <c r="L923" s="35"/>
      <c r="M923" s="16">
        <f t="shared" si="5"/>
        <v>35000</v>
      </c>
      <c r="N923" s="21">
        <f t="shared" si="6"/>
        <v>0</v>
      </c>
    </row>
    <row r="924" ht="13.5" customHeight="1">
      <c r="A924" s="25"/>
      <c r="B924" s="2"/>
      <c r="C924" t="s">
        <v>3302</v>
      </c>
      <c r="D924" s="6">
        <v>1.0</v>
      </c>
      <c r="E924" s="6">
        <v>1.0</v>
      </c>
      <c r="F924" s="6">
        <v>0.0</v>
      </c>
      <c r="G924" s="6">
        <v>1.0</v>
      </c>
      <c r="H924" s="70">
        <v>35000.0</v>
      </c>
      <c r="I924" s="6">
        <v>1.0</v>
      </c>
      <c r="J924" s="35"/>
      <c r="K924" s="35"/>
      <c r="L924" s="35"/>
      <c r="M924" s="16">
        <f t="shared" si="5"/>
        <v>35000</v>
      </c>
      <c r="N924" s="21">
        <f t="shared" si="6"/>
        <v>0</v>
      </c>
    </row>
    <row r="925" ht="13.5" customHeight="1">
      <c r="A925" s="25"/>
      <c r="B925" s="2"/>
      <c r="C925" t="s">
        <v>3306</v>
      </c>
      <c r="D925" s="6">
        <v>1.0</v>
      </c>
      <c r="E925" s="6">
        <v>1.0</v>
      </c>
      <c r="F925" s="6">
        <v>0.0</v>
      </c>
      <c r="G925" s="6">
        <v>1.0</v>
      </c>
      <c r="H925" s="70">
        <v>35000.0</v>
      </c>
      <c r="I925" s="6">
        <v>1.0</v>
      </c>
      <c r="J925" s="35"/>
      <c r="K925" s="35"/>
      <c r="L925" s="35"/>
      <c r="M925" s="16">
        <f t="shared" si="5"/>
        <v>35000</v>
      </c>
      <c r="N925" s="21">
        <f t="shared" si="6"/>
        <v>0</v>
      </c>
    </row>
    <row r="926" ht="13.5" customHeight="1">
      <c r="A926" s="25"/>
      <c r="B926" s="2"/>
      <c r="C926" t="s">
        <v>3308</v>
      </c>
      <c r="D926" s="6">
        <v>1.0</v>
      </c>
      <c r="E926" s="6">
        <v>1.0</v>
      </c>
      <c r="F926" s="6">
        <v>0.0</v>
      </c>
      <c r="G926" s="6">
        <v>1.0</v>
      </c>
      <c r="H926" s="70">
        <v>35000.0</v>
      </c>
      <c r="I926" s="6">
        <v>1.0</v>
      </c>
      <c r="J926" s="35"/>
      <c r="K926" s="35"/>
      <c r="L926" s="35"/>
      <c r="M926" s="16">
        <f t="shared" si="5"/>
        <v>35000</v>
      </c>
      <c r="N926" s="21">
        <f t="shared" si="6"/>
        <v>0</v>
      </c>
    </row>
    <row r="927" ht="13.5" customHeight="1">
      <c r="A927" s="25"/>
      <c r="B927" s="2"/>
      <c r="C927" t="s">
        <v>3311</v>
      </c>
      <c r="D927" s="6">
        <v>1.0</v>
      </c>
      <c r="E927" s="6">
        <v>1.0</v>
      </c>
      <c r="F927" s="6">
        <v>0.0</v>
      </c>
      <c r="G927" s="6">
        <v>1.0</v>
      </c>
      <c r="H927" s="70">
        <v>35000.0</v>
      </c>
      <c r="I927" s="6">
        <v>1.0</v>
      </c>
      <c r="J927" s="35"/>
      <c r="K927" s="35"/>
      <c r="L927" s="35"/>
      <c r="M927" s="16">
        <f t="shared" si="5"/>
        <v>35000</v>
      </c>
      <c r="N927" s="21">
        <f t="shared" si="6"/>
        <v>0</v>
      </c>
    </row>
    <row r="928" ht="13.5" customHeight="1">
      <c r="A928" s="25"/>
      <c r="B928" s="2"/>
      <c r="C928" t="s">
        <v>3314</v>
      </c>
      <c r="D928" s="6">
        <v>1.0</v>
      </c>
      <c r="E928" s="6">
        <v>1.0</v>
      </c>
      <c r="F928" s="6">
        <v>0.0</v>
      </c>
      <c r="G928" s="6">
        <v>1.0</v>
      </c>
      <c r="H928" s="70">
        <v>35000.0</v>
      </c>
      <c r="I928" s="6">
        <v>1.0</v>
      </c>
      <c r="J928" s="35"/>
      <c r="K928" s="35"/>
      <c r="L928" s="35"/>
      <c r="M928" s="16">
        <f t="shared" si="5"/>
        <v>35000</v>
      </c>
      <c r="N928" s="21">
        <f t="shared" si="6"/>
        <v>0</v>
      </c>
    </row>
    <row r="929" ht="13.5" customHeight="1">
      <c r="A929" s="25"/>
      <c r="B929" s="2"/>
      <c r="C929" t="s">
        <v>3317</v>
      </c>
      <c r="D929" s="6">
        <v>1.0</v>
      </c>
      <c r="E929" s="6">
        <v>1.0</v>
      </c>
      <c r="F929" s="6">
        <v>0.0</v>
      </c>
      <c r="G929" s="6">
        <v>1.0</v>
      </c>
      <c r="H929" s="70">
        <v>35000.0</v>
      </c>
      <c r="I929" s="6">
        <v>1.0</v>
      </c>
      <c r="J929" s="35"/>
      <c r="K929" s="35"/>
      <c r="L929" s="35"/>
      <c r="M929" s="16">
        <f t="shared" si="5"/>
        <v>35000</v>
      </c>
      <c r="N929" s="21">
        <f t="shared" si="6"/>
        <v>0</v>
      </c>
    </row>
    <row r="930" ht="13.5" customHeight="1">
      <c r="A930" s="25"/>
      <c r="B930" s="2"/>
      <c r="C930" t="s">
        <v>3319</v>
      </c>
      <c r="D930" s="6">
        <v>1.0</v>
      </c>
      <c r="E930" s="6">
        <v>1.0</v>
      </c>
      <c r="F930" s="6">
        <v>0.0</v>
      </c>
      <c r="G930" s="6">
        <v>1.0</v>
      </c>
      <c r="H930" s="70">
        <v>35000.0</v>
      </c>
      <c r="I930" s="6">
        <v>1.0</v>
      </c>
      <c r="J930" s="35"/>
      <c r="K930" s="35"/>
      <c r="L930" s="35"/>
      <c r="M930" s="16">
        <f t="shared" si="5"/>
        <v>35000</v>
      </c>
      <c r="N930" s="21">
        <f t="shared" si="6"/>
        <v>0</v>
      </c>
    </row>
    <row r="931" ht="13.5" customHeight="1">
      <c r="A931" s="25"/>
      <c r="B931" s="2"/>
      <c r="C931" t="s">
        <v>3323</v>
      </c>
      <c r="D931" s="6">
        <v>1.0</v>
      </c>
      <c r="E931" s="6">
        <v>1.0</v>
      </c>
      <c r="F931" s="6">
        <v>0.0</v>
      </c>
      <c r="G931" s="6">
        <v>1.0</v>
      </c>
      <c r="H931" s="70">
        <v>35000.0</v>
      </c>
      <c r="I931" s="6">
        <v>1.0</v>
      </c>
      <c r="J931" s="35"/>
      <c r="K931" s="35"/>
      <c r="L931" s="35"/>
      <c r="M931" s="16">
        <f t="shared" si="5"/>
        <v>35000</v>
      </c>
      <c r="N931" s="21">
        <f t="shared" si="6"/>
        <v>0</v>
      </c>
    </row>
    <row r="932" ht="13.5" customHeight="1">
      <c r="A932" s="25"/>
      <c r="B932" s="2"/>
      <c r="C932" t="s">
        <v>3325</v>
      </c>
      <c r="D932" s="6">
        <v>1.0</v>
      </c>
      <c r="E932" s="6">
        <v>1.0</v>
      </c>
      <c r="F932" s="6">
        <v>0.0</v>
      </c>
      <c r="G932" s="6">
        <v>1.0</v>
      </c>
      <c r="H932" s="70">
        <v>35000.0</v>
      </c>
      <c r="I932" s="6">
        <v>1.0</v>
      </c>
      <c r="J932" s="35"/>
      <c r="K932" s="35"/>
      <c r="L932" s="35"/>
      <c r="M932" s="16">
        <f t="shared" si="5"/>
        <v>35000</v>
      </c>
      <c r="N932" s="21">
        <f t="shared" si="6"/>
        <v>0</v>
      </c>
    </row>
    <row r="933" ht="13.5" customHeight="1">
      <c r="A933" s="25"/>
      <c r="B933" s="2"/>
      <c r="C933" t="s">
        <v>3328</v>
      </c>
      <c r="D933" s="6">
        <v>1.0</v>
      </c>
      <c r="E933" s="6">
        <v>1.0</v>
      </c>
      <c r="F933" s="6">
        <v>0.0</v>
      </c>
      <c r="G933" s="6">
        <v>1.0</v>
      </c>
      <c r="H933" s="70">
        <v>35000.0</v>
      </c>
      <c r="I933" s="6">
        <v>1.0</v>
      </c>
      <c r="J933" s="35"/>
      <c r="K933" s="35"/>
      <c r="L933" s="35"/>
      <c r="M933" s="16">
        <f t="shared" si="5"/>
        <v>35000</v>
      </c>
      <c r="N933" s="21">
        <f t="shared" si="6"/>
        <v>0</v>
      </c>
    </row>
    <row r="934" ht="13.5" customHeight="1">
      <c r="A934" s="25"/>
      <c r="B934" s="2"/>
      <c r="C934" t="s">
        <v>3331</v>
      </c>
      <c r="D934" s="6">
        <v>1.0</v>
      </c>
      <c r="E934" s="6">
        <v>1.0</v>
      </c>
      <c r="F934" s="6">
        <v>0.0</v>
      </c>
      <c r="G934" s="6">
        <v>1.0</v>
      </c>
      <c r="H934" s="70">
        <v>35000.0</v>
      </c>
      <c r="I934" s="6">
        <v>1.0</v>
      </c>
      <c r="J934" s="35"/>
      <c r="K934" s="35"/>
      <c r="L934" s="35"/>
      <c r="M934" s="16">
        <f t="shared" si="5"/>
        <v>35000</v>
      </c>
      <c r="N934" s="21">
        <f t="shared" si="6"/>
        <v>0</v>
      </c>
    </row>
    <row r="935" ht="13.5" customHeight="1">
      <c r="A935" s="25"/>
      <c r="B935" s="2"/>
      <c r="C935" t="s">
        <v>3333</v>
      </c>
      <c r="D935" s="6">
        <v>1.0</v>
      </c>
      <c r="E935" s="6">
        <v>1.0</v>
      </c>
      <c r="F935" s="6">
        <v>0.0</v>
      </c>
      <c r="G935" s="6">
        <v>1.0</v>
      </c>
      <c r="H935" s="70">
        <v>35000.0</v>
      </c>
      <c r="I935" s="6">
        <v>1.0</v>
      </c>
      <c r="J935" s="35"/>
      <c r="K935" s="35"/>
      <c r="L935" s="35"/>
      <c r="M935" s="16">
        <f t="shared" si="5"/>
        <v>35000</v>
      </c>
      <c r="N935" s="21">
        <f t="shared" si="6"/>
        <v>0</v>
      </c>
    </row>
    <row r="936" ht="13.5" customHeight="1">
      <c r="A936" s="25"/>
      <c r="B936" s="2"/>
      <c r="C936" t="s">
        <v>3336</v>
      </c>
      <c r="D936" s="6">
        <v>1.0</v>
      </c>
      <c r="E936" s="6">
        <v>1.0</v>
      </c>
      <c r="F936" s="6">
        <v>0.0</v>
      </c>
      <c r="G936" s="6">
        <v>1.0</v>
      </c>
      <c r="H936" s="70">
        <v>35000.0</v>
      </c>
      <c r="I936" s="6">
        <v>1.0</v>
      </c>
      <c r="J936" s="35"/>
      <c r="K936" s="35"/>
      <c r="L936" s="35"/>
      <c r="M936" s="16">
        <f t="shared" si="5"/>
        <v>35000</v>
      </c>
      <c r="N936" s="21">
        <f t="shared" si="6"/>
        <v>0</v>
      </c>
    </row>
    <row r="937" ht="13.5" customHeight="1">
      <c r="A937" s="25"/>
      <c r="B937" s="2"/>
      <c r="C937" t="s">
        <v>3339</v>
      </c>
      <c r="D937" s="6">
        <v>1.0</v>
      </c>
      <c r="E937" s="6">
        <v>1.0</v>
      </c>
      <c r="F937" s="6">
        <v>0.0</v>
      </c>
      <c r="G937" s="6">
        <v>1.0</v>
      </c>
      <c r="H937" s="70">
        <v>35000.0</v>
      </c>
      <c r="I937" s="6">
        <v>1.0</v>
      </c>
      <c r="J937" s="35"/>
      <c r="K937" s="35"/>
      <c r="L937" s="35"/>
      <c r="M937" s="16">
        <f t="shared" si="5"/>
        <v>35000</v>
      </c>
      <c r="N937" s="21">
        <f t="shared" si="6"/>
        <v>0</v>
      </c>
    </row>
    <row r="938" ht="13.5" customHeight="1">
      <c r="A938" s="25"/>
      <c r="B938" s="2"/>
      <c r="C938" t="s">
        <v>3341</v>
      </c>
      <c r="D938" s="6">
        <v>1.0</v>
      </c>
      <c r="E938" s="6">
        <v>1.0</v>
      </c>
      <c r="F938" s="6">
        <v>0.0</v>
      </c>
      <c r="G938" s="6">
        <v>1.0</v>
      </c>
      <c r="H938" s="65">
        <v>40000.0</v>
      </c>
      <c r="I938" s="6">
        <v>1.0</v>
      </c>
      <c r="J938" s="35"/>
      <c r="K938" s="35"/>
      <c r="L938" s="35"/>
      <c r="M938" s="16">
        <f t="shared" si="5"/>
        <v>40000</v>
      </c>
      <c r="N938" s="21">
        <f t="shared" si="6"/>
        <v>0</v>
      </c>
    </row>
    <row r="939" ht="13.5" customHeight="1">
      <c r="A939" s="25"/>
      <c r="B939" s="2"/>
      <c r="C939" t="s">
        <v>3346</v>
      </c>
      <c r="D939" s="6">
        <v>1.0</v>
      </c>
      <c r="E939" s="6">
        <v>1.0</v>
      </c>
      <c r="F939" s="6">
        <v>0.0</v>
      </c>
      <c r="G939" s="6">
        <v>1.0</v>
      </c>
      <c r="H939" s="65">
        <v>50000.0</v>
      </c>
      <c r="I939" s="6">
        <v>1.0</v>
      </c>
      <c r="J939" s="35"/>
      <c r="K939" s="35"/>
      <c r="L939" s="35"/>
      <c r="M939" s="16">
        <f t="shared" si="5"/>
        <v>50000</v>
      </c>
      <c r="N939" s="21">
        <f t="shared" si="6"/>
        <v>0</v>
      </c>
    </row>
    <row r="940" ht="13.5" customHeight="1">
      <c r="A940" s="25"/>
      <c r="B940" s="2"/>
      <c r="C940" t="s">
        <v>3348</v>
      </c>
      <c r="D940" s="6">
        <v>1.0</v>
      </c>
      <c r="E940" s="6">
        <v>1.0</v>
      </c>
      <c r="F940" s="6">
        <v>0.0</v>
      </c>
      <c r="G940" s="6">
        <v>1.0</v>
      </c>
      <c r="H940" s="65">
        <v>50000.0</v>
      </c>
      <c r="I940" s="6">
        <v>1.0</v>
      </c>
      <c r="J940" s="35"/>
      <c r="K940" s="35"/>
      <c r="L940" s="35"/>
      <c r="M940" s="16">
        <f t="shared" si="5"/>
        <v>50000</v>
      </c>
      <c r="N940" s="21">
        <f t="shared" si="6"/>
        <v>0</v>
      </c>
    </row>
    <row r="941" ht="13.5" customHeight="1">
      <c r="A941" s="34" t="s">
        <v>3349</v>
      </c>
      <c r="B941" s="2"/>
      <c r="D941" s="6"/>
      <c r="E941" s="6"/>
      <c r="F941" s="6"/>
      <c r="G941" s="6"/>
      <c r="I941" s="6"/>
      <c r="M941" s="16" t="str">
        <f t="shared" si="5"/>
        <v/>
      </c>
      <c r="N941" s="21" t="str">
        <f t="shared" si="6"/>
        <v/>
      </c>
    </row>
    <row r="942" ht="13.5" customHeight="1">
      <c r="A942" s="44"/>
      <c r="B942" s="2"/>
      <c r="C942" s="3" t="s">
        <v>3350</v>
      </c>
      <c r="D942" s="6">
        <v>1.0</v>
      </c>
      <c r="E942" s="6">
        <v>1.0</v>
      </c>
      <c r="F942" s="6">
        <v>0.0</v>
      </c>
      <c r="G942" s="6">
        <v>1.0</v>
      </c>
      <c r="H942" s="6">
        <v>16000.0</v>
      </c>
      <c r="I942" s="6">
        <v>1.0</v>
      </c>
      <c r="M942" s="16">
        <f t="shared" si="5"/>
        <v>16000</v>
      </c>
      <c r="N942" s="21">
        <f t="shared" si="6"/>
        <v>1</v>
      </c>
    </row>
    <row r="943" ht="13.5" customHeight="1">
      <c r="A943" s="45"/>
      <c r="B943" s="45" t="s">
        <v>2872</v>
      </c>
      <c r="C943" s="3" t="s">
        <v>3351</v>
      </c>
      <c r="D943" s="6">
        <v>1.0</v>
      </c>
      <c r="E943" s="6">
        <v>0.0</v>
      </c>
      <c r="F943" s="6">
        <v>0.0</v>
      </c>
      <c r="G943" s="6">
        <v>1.0</v>
      </c>
      <c r="H943" s="6">
        <v>16000.0</v>
      </c>
      <c r="I943" s="6">
        <v>1.0</v>
      </c>
      <c r="M943" s="16">
        <f t="shared" si="5"/>
        <v>16000</v>
      </c>
      <c r="N943" s="21">
        <f t="shared" si="6"/>
        <v>1</v>
      </c>
    </row>
    <row r="944" ht="13.5" customHeight="1">
      <c r="A944" s="45"/>
      <c r="B944" s="45" t="s">
        <v>2872</v>
      </c>
      <c r="C944" s="3" t="s">
        <v>3354</v>
      </c>
      <c r="D944" s="6">
        <v>1.0</v>
      </c>
      <c r="E944" s="6">
        <v>0.0</v>
      </c>
      <c r="F944" s="6">
        <v>0.0</v>
      </c>
      <c r="G944" s="6">
        <v>1.0</v>
      </c>
      <c r="H944" s="6">
        <v>16000.0</v>
      </c>
      <c r="I944" s="6">
        <v>1.0</v>
      </c>
      <c r="M944" s="16">
        <f t="shared" si="5"/>
        <v>16000</v>
      </c>
      <c r="N944" s="21">
        <f t="shared" si="6"/>
        <v>1</v>
      </c>
    </row>
    <row r="945" ht="13.5" customHeight="1">
      <c r="A945" s="45"/>
      <c r="B945" s="45" t="s">
        <v>2872</v>
      </c>
      <c r="C945" s="3" t="s">
        <v>3356</v>
      </c>
      <c r="D945" s="6">
        <v>1.0</v>
      </c>
      <c r="E945" s="6">
        <v>0.0</v>
      </c>
      <c r="F945" s="6">
        <v>0.0</v>
      </c>
      <c r="G945" s="6">
        <v>1.0</v>
      </c>
      <c r="H945" s="6">
        <v>16000.0</v>
      </c>
      <c r="I945" s="6">
        <v>1.0</v>
      </c>
      <c r="M945" s="16">
        <f t="shared" si="5"/>
        <v>16000</v>
      </c>
      <c r="N945" s="21">
        <f t="shared" si="6"/>
        <v>1</v>
      </c>
    </row>
    <row r="946" ht="13.5" customHeight="1">
      <c r="A946" s="45"/>
      <c r="B946" s="45" t="s">
        <v>2872</v>
      </c>
      <c r="C946" s="3" t="s">
        <v>3358</v>
      </c>
      <c r="D946" s="6">
        <v>1.0</v>
      </c>
      <c r="E946" s="6">
        <v>0.0</v>
      </c>
      <c r="F946" s="6">
        <v>0.0</v>
      </c>
      <c r="G946" s="6">
        <v>1.0</v>
      </c>
      <c r="H946" s="6">
        <v>16000.0</v>
      </c>
      <c r="I946" s="6">
        <v>1.0</v>
      </c>
      <c r="M946" s="16">
        <f t="shared" si="5"/>
        <v>16000</v>
      </c>
      <c r="N946" s="21">
        <f t="shared" si="6"/>
        <v>1</v>
      </c>
    </row>
    <row r="947" ht="13.5" customHeight="1">
      <c r="A947" s="45"/>
      <c r="B947" s="45" t="s">
        <v>2872</v>
      </c>
      <c r="C947" s="3" t="s">
        <v>3362</v>
      </c>
      <c r="D947" s="6">
        <v>1.0</v>
      </c>
      <c r="E947" s="6">
        <v>0.0</v>
      </c>
      <c r="F947" s="6">
        <v>0.0</v>
      </c>
      <c r="G947" s="6">
        <v>1.0</v>
      </c>
      <c r="H947" s="6">
        <v>16000.0</v>
      </c>
      <c r="I947" s="6">
        <v>1.0</v>
      </c>
      <c r="M947" s="16">
        <f t="shared" si="5"/>
        <v>16000</v>
      </c>
      <c r="N947" s="21">
        <f t="shared" si="6"/>
        <v>1</v>
      </c>
    </row>
    <row r="948" ht="13.5" customHeight="1">
      <c r="A948" s="45"/>
      <c r="B948" s="45" t="s">
        <v>2872</v>
      </c>
      <c r="C948" s="3" t="s">
        <v>3363</v>
      </c>
      <c r="D948" s="6">
        <v>1.0</v>
      </c>
      <c r="E948" s="6">
        <v>0.0</v>
      </c>
      <c r="F948" s="6">
        <v>0.0</v>
      </c>
      <c r="G948" s="6">
        <v>1.0</v>
      </c>
      <c r="H948" s="6">
        <v>16000.0</v>
      </c>
      <c r="I948" s="6">
        <v>1.0</v>
      </c>
      <c r="M948" s="16">
        <f t="shared" si="5"/>
        <v>16000</v>
      </c>
      <c r="N948" s="21">
        <f t="shared" si="6"/>
        <v>1</v>
      </c>
    </row>
    <row r="949" ht="13.5" customHeight="1">
      <c r="A949" s="45"/>
      <c r="B949" s="45" t="s">
        <v>2872</v>
      </c>
      <c r="C949" s="3" t="s">
        <v>3364</v>
      </c>
      <c r="D949" s="6">
        <v>1.0</v>
      </c>
      <c r="E949" s="6">
        <v>0.0</v>
      </c>
      <c r="F949" s="6">
        <v>0.0</v>
      </c>
      <c r="G949" s="6">
        <v>1.0</v>
      </c>
      <c r="H949" s="6">
        <v>16000.0</v>
      </c>
      <c r="I949" s="6">
        <v>1.0</v>
      </c>
      <c r="M949" s="16">
        <f t="shared" si="5"/>
        <v>16000</v>
      </c>
      <c r="N949" s="21">
        <f t="shared" si="6"/>
        <v>1</v>
      </c>
    </row>
    <row r="950" ht="13.5" customHeight="1">
      <c r="A950" s="45"/>
      <c r="B950" s="45" t="s">
        <v>2872</v>
      </c>
      <c r="C950" s="3" t="s">
        <v>3366</v>
      </c>
      <c r="D950" s="6">
        <v>1.0</v>
      </c>
      <c r="E950" s="6">
        <v>0.0</v>
      </c>
      <c r="F950" s="6">
        <v>0.0</v>
      </c>
      <c r="G950" s="6">
        <v>1.0</v>
      </c>
      <c r="H950" s="6">
        <v>16000.0</v>
      </c>
      <c r="I950" s="6">
        <v>1.0</v>
      </c>
      <c r="M950" s="16">
        <f t="shared" si="5"/>
        <v>16000</v>
      </c>
      <c r="N950" s="21">
        <f t="shared" si="6"/>
        <v>1</v>
      </c>
    </row>
    <row r="951" ht="13.5" customHeight="1">
      <c r="A951" s="45"/>
      <c r="B951" s="45" t="s">
        <v>2872</v>
      </c>
      <c r="C951" s="3" t="s">
        <v>3368</v>
      </c>
      <c r="D951" s="6">
        <v>1.0</v>
      </c>
      <c r="E951" s="6">
        <v>0.0</v>
      </c>
      <c r="F951" s="6">
        <v>0.0</v>
      </c>
      <c r="G951" s="6">
        <v>1.0</v>
      </c>
      <c r="H951" s="6">
        <v>16000.0</v>
      </c>
      <c r="I951" s="6">
        <v>1.0</v>
      </c>
      <c r="M951" s="16">
        <f t="shared" si="5"/>
        <v>16000</v>
      </c>
      <c r="N951" s="21">
        <f t="shared" si="6"/>
        <v>1</v>
      </c>
    </row>
    <row r="952" ht="13.5" customHeight="1">
      <c r="A952" s="45"/>
      <c r="B952" s="45" t="s">
        <v>2872</v>
      </c>
      <c r="C952" s="3" t="s">
        <v>3371</v>
      </c>
      <c r="D952" s="6">
        <v>1.0</v>
      </c>
      <c r="E952" s="6">
        <v>0.0</v>
      </c>
      <c r="F952" s="6">
        <v>0.0</v>
      </c>
      <c r="G952" s="6">
        <v>1.0</v>
      </c>
      <c r="H952" s="6">
        <v>16000.0</v>
      </c>
      <c r="I952" s="6">
        <v>1.0</v>
      </c>
      <c r="M952" s="16">
        <f t="shared" si="5"/>
        <v>16000</v>
      </c>
      <c r="N952" s="21">
        <f t="shared" si="6"/>
        <v>1</v>
      </c>
    </row>
    <row r="953" ht="13.5" customHeight="1">
      <c r="A953" s="45"/>
      <c r="B953" s="45" t="s">
        <v>2872</v>
      </c>
      <c r="C953" s="3" t="s">
        <v>3372</v>
      </c>
      <c r="D953" s="6">
        <v>1.0</v>
      </c>
      <c r="E953" s="6">
        <v>0.0</v>
      </c>
      <c r="F953" s="6">
        <v>0.0</v>
      </c>
      <c r="G953" s="6">
        <v>1.0</v>
      </c>
      <c r="H953" s="6">
        <v>16000.0</v>
      </c>
      <c r="I953" s="6">
        <v>1.0</v>
      </c>
      <c r="M953" s="16">
        <f t="shared" si="5"/>
        <v>16000</v>
      </c>
      <c r="N953" s="21">
        <f t="shared" si="6"/>
        <v>1</v>
      </c>
    </row>
    <row r="954" ht="13.5" customHeight="1">
      <c r="A954" s="45"/>
      <c r="B954" s="45" t="s">
        <v>2872</v>
      </c>
      <c r="C954" s="3" t="s">
        <v>3374</v>
      </c>
      <c r="D954" s="6">
        <v>1.0</v>
      </c>
      <c r="E954" s="6">
        <v>0.0</v>
      </c>
      <c r="F954" s="6">
        <v>0.0</v>
      </c>
      <c r="G954" s="6">
        <v>1.0</v>
      </c>
      <c r="H954" s="6">
        <v>16000.0</v>
      </c>
      <c r="I954" s="6">
        <v>1.0</v>
      </c>
      <c r="M954" s="16">
        <f t="shared" si="5"/>
        <v>16000</v>
      </c>
      <c r="N954" s="21">
        <f t="shared" si="6"/>
        <v>1</v>
      </c>
    </row>
    <row r="955" ht="13.5" customHeight="1">
      <c r="A955" s="45"/>
      <c r="B955" s="45" t="s">
        <v>2872</v>
      </c>
      <c r="C955" s="3" t="s">
        <v>3376</v>
      </c>
      <c r="D955" s="6">
        <v>1.0</v>
      </c>
      <c r="E955" s="6">
        <v>0.0</v>
      </c>
      <c r="F955" s="6">
        <v>0.0</v>
      </c>
      <c r="G955" s="6">
        <v>1.0</v>
      </c>
      <c r="H955" s="6">
        <v>16000.0</v>
      </c>
      <c r="I955" s="6">
        <v>1.0</v>
      </c>
      <c r="M955" s="16">
        <f t="shared" si="5"/>
        <v>16000</v>
      </c>
      <c r="N955" s="21">
        <f t="shared" si="6"/>
        <v>1</v>
      </c>
    </row>
    <row r="956" ht="13.5" customHeight="1">
      <c r="A956" s="45"/>
      <c r="B956" s="45" t="s">
        <v>2872</v>
      </c>
      <c r="C956" s="3" t="s">
        <v>3379</v>
      </c>
      <c r="D956" s="6">
        <v>1.0</v>
      </c>
      <c r="E956" s="6">
        <v>0.0</v>
      </c>
      <c r="F956" s="6">
        <v>0.0</v>
      </c>
      <c r="G956" s="6">
        <v>1.0</v>
      </c>
      <c r="H956" s="6">
        <v>16000.0</v>
      </c>
      <c r="I956" s="6">
        <v>1.0</v>
      </c>
      <c r="M956" s="16">
        <f t="shared" si="5"/>
        <v>16000</v>
      </c>
      <c r="N956" s="21">
        <f t="shared" si="6"/>
        <v>1</v>
      </c>
    </row>
    <row r="957" ht="13.5" customHeight="1">
      <c r="A957" s="45"/>
      <c r="B957" s="45" t="s">
        <v>2872</v>
      </c>
      <c r="C957" s="3" t="s">
        <v>3382</v>
      </c>
      <c r="D957" s="6">
        <v>1.0</v>
      </c>
      <c r="E957" s="6">
        <v>0.0</v>
      </c>
      <c r="F957" s="6">
        <v>0.0</v>
      </c>
      <c r="G957" s="6">
        <v>1.0</v>
      </c>
      <c r="H957" s="6">
        <v>16000.0</v>
      </c>
      <c r="I957" s="6">
        <v>1.0</v>
      </c>
      <c r="M957" s="16">
        <f t="shared" si="5"/>
        <v>16000</v>
      </c>
      <c r="N957" s="21">
        <f t="shared" si="6"/>
        <v>1</v>
      </c>
    </row>
    <row r="958" ht="13.5" customHeight="1">
      <c r="A958" s="45"/>
      <c r="B958" s="45" t="s">
        <v>2872</v>
      </c>
      <c r="C958" s="3" t="s">
        <v>3385</v>
      </c>
      <c r="D958" s="6">
        <v>1.0</v>
      </c>
      <c r="E958" s="6">
        <v>0.0</v>
      </c>
      <c r="F958" s="6">
        <v>0.0</v>
      </c>
      <c r="G958" s="6">
        <v>1.0</v>
      </c>
      <c r="H958" s="6">
        <v>16000.0</v>
      </c>
      <c r="I958" s="6">
        <v>1.0</v>
      </c>
      <c r="M958" s="16">
        <f t="shared" si="5"/>
        <v>16000</v>
      </c>
      <c r="N958" s="21">
        <f t="shared" si="6"/>
        <v>1</v>
      </c>
    </row>
    <row r="959" ht="13.5" customHeight="1">
      <c r="A959" s="44"/>
      <c r="B959" s="44"/>
      <c r="C959" s="3" t="s">
        <v>3388</v>
      </c>
      <c r="D959" s="6">
        <v>1.0</v>
      </c>
      <c r="E959" s="6">
        <v>1.0</v>
      </c>
      <c r="F959" s="6">
        <v>0.0</v>
      </c>
      <c r="G959" s="6">
        <v>1.0</v>
      </c>
      <c r="H959" s="6">
        <v>23000.0</v>
      </c>
      <c r="I959" s="6">
        <v>1.0</v>
      </c>
      <c r="M959" s="16">
        <f t="shared" si="5"/>
        <v>23000</v>
      </c>
      <c r="N959" s="21">
        <f t="shared" si="6"/>
        <v>0</v>
      </c>
    </row>
    <row r="960" ht="13.5" customHeight="1">
      <c r="A960" s="44"/>
      <c r="B960" s="44"/>
      <c r="C960" s="3" t="s">
        <v>3389</v>
      </c>
      <c r="D960" s="6">
        <v>1.0</v>
      </c>
      <c r="E960" s="6">
        <v>1.0</v>
      </c>
      <c r="F960" s="6">
        <v>0.0</v>
      </c>
      <c r="G960" s="6">
        <v>1.0</v>
      </c>
      <c r="H960" s="6">
        <v>30000.0</v>
      </c>
      <c r="I960" s="6">
        <v>1.0</v>
      </c>
      <c r="M960" s="16">
        <f t="shared" si="5"/>
        <v>30000</v>
      </c>
      <c r="N960" s="21">
        <f t="shared" si="6"/>
        <v>0</v>
      </c>
    </row>
    <row r="961" ht="13.5" customHeight="1">
      <c r="A961" s="45"/>
      <c r="B961" s="45" t="s">
        <v>2872</v>
      </c>
      <c r="C961" s="3" t="s">
        <v>3390</v>
      </c>
      <c r="D961" s="6">
        <v>1.0</v>
      </c>
      <c r="E961" s="6">
        <v>0.0</v>
      </c>
      <c r="F961" s="6">
        <v>0.0</v>
      </c>
      <c r="G961" s="6">
        <v>1.0</v>
      </c>
      <c r="H961" s="6">
        <v>30000.0</v>
      </c>
      <c r="I961" s="6">
        <v>1.0</v>
      </c>
      <c r="M961" s="16">
        <f t="shared" si="5"/>
        <v>30000</v>
      </c>
      <c r="N961" s="21">
        <f t="shared" si="6"/>
        <v>0</v>
      </c>
    </row>
    <row r="962" ht="13.5" customHeight="1">
      <c r="A962" s="45"/>
      <c r="B962" s="45"/>
      <c r="C962" s="3" t="s">
        <v>3391</v>
      </c>
      <c r="D962" s="6">
        <v>1.0</v>
      </c>
      <c r="E962" s="6">
        <v>1.0</v>
      </c>
      <c r="F962" s="6">
        <v>0.0</v>
      </c>
      <c r="G962" s="6">
        <v>1.0</v>
      </c>
      <c r="H962" s="6">
        <v>28000.0</v>
      </c>
      <c r="I962" s="6">
        <v>1.0</v>
      </c>
      <c r="M962" s="16">
        <f t="shared" si="5"/>
        <v>28000</v>
      </c>
      <c r="N962" s="21">
        <f t="shared" si="6"/>
        <v>0</v>
      </c>
    </row>
    <row r="963" ht="13.5" customHeight="1">
      <c r="A963" s="45"/>
      <c r="B963" s="45" t="s">
        <v>2872</v>
      </c>
      <c r="C963" s="3" t="s">
        <v>3392</v>
      </c>
      <c r="D963" s="6">
        <v>1.0</v>
      </c>
      <c r="E963" s="6">
        <v>0.0</v>
      </c>
      <c r="F963" s="6">
        <v>0.0</v>
      </c>
      <c r="G963" s="6">
        <v>1.0</v>
      </c>
      <c r="H963" s="6">
        <v>28000.0</v>
      </c>
      <c r="I963" s="6">
        <v>1.0</v>
      </c>
      <c r="M963" s="16">
        <f t="shared" si="5"/>
        <v>28000</v>
      </c>
      <c r="N963" s="21">
        <f t="shared" si="6"/>
        <v>0</v>
      </c>
    </row>
    <row r="964" ht="13.5" customHeight="1">
      <c r="A964" s="45"/>
      <c r="B964" s="45" t="s">
        <v>2872</v>
      </c>
      <c r="C964" s="3" t="s">
        <v>3394</v>
      </c>
      <c r="D964" s="6">
        <v>1.0</v>
      </c>
      <c r="E964" s="6">
        <v>0.0</v>
      </c>
      <c r="F964" s="6">
        <v>0.0</v>
      </c>
      <c r="G964" s="6">
        <v>1.0</v>
      </c>
      <c r="H964" s="6">
        <v>28000.0</v>
      </c>
      <c r="I964" s="6">
        <v>1.0</v>
      </c>
      <c r="M964" s="16">
        <f t="shared" si="5"/>
        <v>28000</v>
      </c>
      <c r="N964" s="21">
        <f t="shared" si="6"/>
        <v>0</v>
      </c>
    </row>
    <row r="965" ht="13.5" customHeight="1">
      <c r="A965" s="45"/>
      <c r="B965" s="45" t="s">
        <v>2872</v>
      </c>
      <c r="C965" s="3" t="s">
        <v>3396</v>
      </c>
      <c r="D965" s="6">
        <v>1.0</v>
      </c>
      <c r="E965" s="6">
        <v>0.0</v>
      </c>
      <c r="F965" s="6">
        <v>0.0</v>
      </c>
      <c r="G965" s="6">
        <v>1.0</v>
      </c>
      <c r="H965" s="6">
        <v>30000.0</v>
      </c>
      <c r="I965" s="6">
        <v>1.0</v>
      </c>
      <c r="M965" s="16">
        <f t="shared" si="5"/>
        <v>30000</v>
      </c>
      <c r="N965" s="21">
        <f t="shared" si="6"/>
        <v>0</v>
      </c>
    </row>
    <row r="966" ht="13.5" customHeight="1">
      <c r="A966" s="44"/>
      <c r="B966" s="44"/>
      <c r="C966" s="3" t="s">
        <v>3398</v>
      </c>
      <c r="D966" s="6">
        <v>1.0</v>
      </c>
      <c r="E966" s="6">
        <v>1.0</v>
      </c>
      <c r="F966" s="6">
        <v>0.0</v>
      </c>
      <c r="G966" s="6">
        <v>1.0</v>
      </c>
      <c r="H966" s="6">
        <v>30000.0</v>
      </c>
      <c r="I966" s="6">
        <v>1.0</v>
      </c>
      <c r="M966" s="16">
        <f t="shared" si="5"/>
        <v>30000</v>
      </c>
      <c r="N966" s="21">
        <f t="shared" si="6"/>
        <v>0</v>
      </c>
    </row>
    <row r="967" ht="13.5" customHeight="1">
      <c r="A967" s="44"/>
      <c r="B967" s="44"/>
      <c r="C967" s="3" t="s">
        <v>3400</v>
      </c>
      <c r="D967" s="6">
        <v>1.0</v>
      </c>
      <c r="E967" s="6">
        <v>1.0</v>
      </c>
      <c r="F967" s="6">
        <v>0.0</v>
      </c>
      <c r="G967" s="6">
        <v>1.0</v>
      </c>
      <c r="H967" s="6">
        <v>35000.0</v>
      </c>
      <c r="I967" s="6">
        <v>1.0</v>
      </c>
      <c r="M967" s="16">
        <f t="shared" si="5"/>
        <v>35000</v>
      </c>
      <c r="N967" s="21">
        <f t="shared" si="6"/>
        <v>0</v>
      </c>
    </row>
    <row r="968" ht="13.5" customHeight="1">
      <c r="A968" s="45"/>
      <c r="B968" s="45" t="s">
        <v>2872</v>
      </c>
      <c r="C968" s="3" t="s">
        <v>3403</v>
      </c>
      <c r="D968" s="6">
        <v>1.0</v>
      </c>
      <c r="E968" s="6">
        <v>0.0</v>
      </c>
      <c r="F968" s="6">
        <v>0.0</v>
      </c>
      <c r="G968" s="6">
        <v>1.0</v>
      </c>
      <c r="H968" s="6">
        <v>35000.0</v>
      </c>
      <c r="I968" s="6">
        <v>1.0</v>
      </c>
      <c r="M968" s="16">
        <f t="shared" si="5"/>
        <v>35000</v>
      </c>
      <c r="N968" s="21">
        <f t="shared" si="6"/>
        <v>0</v>
      </c>
    </row>
    <row r="969" ht="13.5" customHeight="1">
      <c r="A969" s="44"/>
      <c r="B969" s="44"/>
      <c r="C969" s="3" t="s">
        <v>3405</v>
      </c>
      <c r="D969" s="6">
        <v>1.0</v>
      </c>
      <c r="E969" s="6">
        <v>1.0</v>
      </c>
      <c r="F969" s="6">
        <v>0.0</v>
      </c>
      <c r="G969" s="6">
        <v>1.0</v>
      </c>
      <c r="H969" s="6">
        <v>38000.0</v>
      </c>
      <c r="I969" s="6">
        <v>1.0</v>
      </c>
      <c r="M969" s="16">
        <f t="shared" si="5"/>
        <v>38000</v>
      </c>
      <c r="N969" s="21">
        <f t="shared" si="6"/>
        <v>0</v>
      </c>
    </row>
    <row r="970" ht="13.5" customHeight="1">
      <c r="A970" s="45"/>
      <c r="B970" s="45" t="s">
        <v>2872</v>
      </c>
      <c r="C970" s="3" t="s">
        <v>3408</v>
      </c>
      <c r="D970" s="6">
        <v>1.0</v>
      </c>
      <c r="E970" s="6">
        <v>0.0</v>
      </c>
      <c r="F970" s="6">
        <v>0.0</v>
      </c>
      <c r="G970" s="6">
        <v>1.0</v>
      </c>
      <c r="H970" s="6">
        <v>38000.0</v>
      </c>
      <c r="I970" s="6">
        <v>1.0</v>
      </c>
      <c r="M970" s="16">
        <f t="shared" si="5"/>
        <v>38000</v>
      </c>
      <c r="N970" s="21">
        <f t="shared" si="6"/>
        <v>0</v>
      </c>
    </row>
    <row r="971" ht="13.5" customHeight="1">
      <c r="A971" s="44"/>
      <c r="B971" s="44"/>
      <c r="C971" s="3" t="s">
        <v>3410</v>
      </c>
      <c r="D971" s="6">
        <v>1.0</v>
      </c>
      <c r="E971" s="6">
        <v>1.0</v>
      </c>
      <c r="F971" s="6">
        <v>0.0</v>
      </c>
      <c r="G971" s="6">
        <v>1.0</v>
      </c>
      <c r="H971" s="6">
        <v>45000.0</v>
      </c>
      <c r="I971" s="6">
        <v>1.0</v>
      </c>
      <c r="M971" s="16">
        <f t="shared" si="5"/>
        <v>45000</v>
      </c>
      <c r="N971" s="21">
        <f t="shared" si="6"/>
        <v>0</v>
      </c>
    </row>
    <row r="972" ht="13.5" customHeight="1">
      <c r="A972" s="44"/>
      <c r="B972" s="44"/>
      <c r="C972" s="3" t="s">
        <v>3413</v>
      </c>
      <c r="D972" s="6">
        <v>1.0</v>
      </c>
      <c r="E972" s="6">
        <v>1.0</v>
      </c>
      <c r="F972" s="6">
        <v>0.0</v>
      </c>
      <c r="G972" s="6">
        <v>1.0</v>
      </c>
      <c r="H972" s="6">
        <v>50000.0</v>
      </c>
      <c r="I972" s="6">
        <v>1.0</v>
      </c>
      <c r="M972" s="16">
        <f t="shared" si="5"/>
        <v>50000</v>
      </c>
      <c r="N972" s="21">
        <f t="shared" si="6"/>
        <v>0</v>
      </c>
    </row>
    <row r="973" ht="13.5" customHeight="1">
      <c r="A973" s="45"/>
      <c r="B973" s="45" t="s">
        <v>2872</v>
      </c>
      <c r="C973" s="3" t="s">
        <v>3415</v>
      </c>
      <c r="D973" s="6">
        <v>1.0</v>
      </c>
      <c r="E973" s="6">
        <v>0.0</v>
      </c>
      <c r="F973" s="6">
        <v>0.0</v>
      </c>
      <c r="G973" s="6">
        <v>1.0</v>
      </c>
      <c r="H973" s="6">
        <v>50000.0</v>
      </c>
      <c r="I973" s="6">
        <v>1.0</v>
      </c>
      <c r="M973" s="16">
        <f t="shared" si="5"/>
        <v>50000</v>
      </c>
      <c r="N973" s="21">
        <f t="shared" si="6"/>
        <v>0</v>
      </c>
    </row>
    <row r="974" ht="13.5" customHeight="1">
      <c r="A974" s="25"/>
      <c r="B974" s="2"/>
      <c r="C974" t="s">
        <v>3416</v>
      </c>
      <c r="D974" s="6">
        <v>1.0</v>
      </c>
      <c r="E974" s="6">
        <v>1.0</v>
      </c>
      <c r="F974" s="6">
        <v>0.0</v>
      </c>
      <c r="G974" s="6">
        <v>1.0</v>
      </c>
      <c r="H974" s="65">
        <v>26000.0</v>
      </c>
      <c r="I974" s="6">
        <v>1.0</v>
      </c>
      <c r="J974" s="35"/>
      <c r="K974" s="35"/>
      <c r="L974" s="35"/>
      <c r="M974" s="16">
        <f t="shared" si="5"/>
        <v>26000</v>
      </c>
      <c r="N974" s="21">
        <f t="shared" si="6"/>
        <v>0</v>
      </c>
    </row>
    <row r="975" ht="13.5" customHeight="1">
      <c r="A975" s="25"/>
      <c r="B975" s="2"/>
      <c r="C975" t="s">
        <v>3418</v>
      </c>
      <c r="D975" s="6">
        <v>1.0</v>
      </c>
      <c r="E975" s="6">
        <v>1.0</v>
      </c>
      <c r="F975" s="6">
        <v>0.0</v>
      </c>
      <c r="G975" s="6">
        <v>1.0</v>
      </c>
      <c r="H975" s="70">
        <v>30000.0</v>
      </c>
      <c r="I975" s="6">
        <v>1.0</v>
      </c>
      <c r="J975" s="35"/>
      <c r="K975" s="35"/>
      <c r="L975" s="35"/>
      <c r="M975" s="16">
        <f t="shared" si="5"/>
        <v>30000</v>
      </c>
      <c r="N975" s="21">
        <f t="shared" si="6"/>
        <v>0</v>
      </c>
    </row>
    <row r="976" ht="13.5" customHeight="1">
      <c r="A976" s="25"/>
      <c r="B976" s="2"/>
      <c r="C976" t="s">
        <v>3420</v>
      </c>
      <c r="D976" s="6">
        <v>1.0</v>
      </c>
      <c r="E976" s="6">
        <v>1.0</v>
      </c>
      <c r="F976" s="6">
        <v>0.0</v>
      </c>
      <c r="G976" s="6">
        <v>1.0</v>
      </c>
      <c r="H976" s="70">
        <v>30000.0</v>
      </c>
      <c r="I976" s="6">
        <v>1.0</v>
      </c>
      <c r="J976" s="35"/>
      <c r="K976" s="35"/>
      <c r="L976" s="35"/>
      <c r="M976" s="16">
        <f t="shared" si="5"/>
        <v>30000</v>
      </c>
      <c r="N976" s="21">
        <f t="shared" si="6"/>
        <v>0</v>
      </c>
    </row>
    <row r="977" ht="13.5" customHeight="1">
      <c r="A977" s="25"/>
      <c r="B977" s="2"/>
      <c r="C977" t="s">
        <v>3423</v>
      </c>
      <c r="D977" s="6">
        <v>1.0</v>
      </c>
      <c r="E977" s="6">
        <v>1.0</v>
      </c>
      <c r="F977" s="6">
        <v>0.0</v>
      </c>
      <c r="G977" s="6">
        <v>1.0</v>
      </c>
      <c r="H977" s="70">
        <v>30000.0</v>
      </c>
      <c r="I977" s="6">
        <v>1.0</v>
      </c>
      <c r="J977" s="35"/>
      <c r="K977" s="35"/>
      <c r="L977" s="35"/>
      <c r="M977" s="16">
        <f t="shared" si="5"/>
        <v>30000</v>
      </c>
      <c r="N977" s="21">
        <f t="shared" si="6"/>
        <v>0</v>
      </c>
    </row>
    <row r="978" ht="13.5" customHeight="1">
      <c r="A978" s="25"/>
      <c r="B978" s="2"/>
      <c r="C978" t="s">
        <v>3426</v>
      </c>
      <c r="D978" s="6">
        <v>1.0</v>
      </c>
      <c r="E978" s="6">
        <v>1.0</v>
      </c>
      <c r="F978" s="6">
        <v>0.0</v>
      </c>
      <c r="G978" s="6">
        <v>1.0</v>
      </c>
      <c r="H978" s="70">
        <v>30000.0</v>
      </c>
      <c r="I978" s="6">
        <v>1.0</v>
      </c>
      <c r="J978" s="35"/>
      <c r="K978" s="35"/>
      <c r="L978" s="35"/>
      <c r="M978" s="16">
        <f t="shared" si="5"/>
        <v>30000</v>
      </c>
      <c r="N978" s="21">
        <f t="shared" si="6"/>
        <v>0</v>
      </c>
    </row>
    <row r="979" ht="13.5" customHeight="1">
      <c r="A979" s="25"/>
      <c r="B979" s="2"/>
      <c r="C979" t="s">
        <v>3428</v>
      </c>
      <c r="D979" s="6">
        <v>1.0</v>
      </c>
      <c r="E979" s="6">
        <v>1.0</v>
      </c>
      <c r="F979" s="6">
        <v>0.0</v>
      </c>
      <c r="G979" s="6">
        <v>1.0</v>
      </c>
      <c r="H979" s="70">
        <v>32000.0</v>
      </c>
      <c r="I979" s="6">
        <v>1.0</v>
      </c>
      <c r="J979" s="35"/>
      <c r="K979" s="35"/>
      <c r="L979" s="35"/>
      <c r="M979" s="16">
        <f t="shared" si="5"/>
        <v>32000</v>
      </c>
      <c r="N979" s="21">
        <f t="shared" si="6"/>
        <v>0</v>
      </c>
    </row>
    <row r="980" ht="13.5" customHeight="1">
      <c r="A980" s="25"/>
      <c r="B980" s="2"/>
      <c r="C980" t="s">
        <v>3429</v>
      </c>
      <c r="D980" s="6">
        <v>1.0</v>
      </c>
      <c r="E980" s="6">
        <v>1.0</v>
      </c>
      <c r="F980" s="6">
        <v>0.0</v>
      </c>
      <c r="G980" s="6">
        <v>1.0</v>
      </c>
      <c r="H980" s="70">
        <v>32000.0</v>
      </c>
      <c r="I980" s="6">
        <v>1.0</v>
      </c>
      <c r="J980" s="35"/>
      <c r="K980" s="35"/>
      <c r="L980" s="35"/>
      <c r="M980" s="16">
        <f t="shared" si="5"/>
        <v>32000</v>
      </c>
      <c r="N980" s="21">
        <f t="shared" si="6"/>
        <v>0</v>
      </c>
    </row>
    <row r="981" ht="13.5" customHeight="1">
      <c r="A981" s="34" t="s">
        <v>3430</v>
      </c>
      <c r="B981" s="2"/>
      <c r="D981" s="6"/>
      <c r="E981" s="6"/>
      <c r="F981" s="6"/>
      <c r="G981" s="6"/>
      <c r="I981" s="6"/>
      <c r="M981" s="16" t="str">
        <f t="shared" si="5"/>
        <v/>
      </c>
      <c r="N981" s="21" t="str">
        <f t="shared" si="6"/>
        <v/>
      </c>
    </row>
    <row r="982" ht="13.5" customHeight="1">
      <c r="A982" s="25"/>
      <c r="B982" s="2"/>
      <c r="C982" s="3" t="s">
        <v>3432</v>
      </c>
      <c r="D982" s="6">
        <v>1.0</v>
      </c>
      <c r="E982" s="6">
        <v>1.0</v>
      </c>
      <c r="F982" s="6">
        <v>0.0</v>
      </c>
      <c r="G982" s="6">
        <v>1.0</v>
      </c>
      <c r="H982" s="70">
        <v>10000.0</v>
      </c>
      <c r="I982" s="6">
        <v>1.0</v>
      </c>
      <c r="J982" s="35"/>
      <c r="K982" s="35"/>
      <c r="L982" s="35"/>
      <c r="M982" s="16">
        <f t="shared" si="5"/>
        <v>10000</v>
      </c>
      <c r="N982" s="21">
        <f t="shared" si="6"/>
        <v>1</v>
      </c>
    </row>
    <row r="983" ht="13.5" customHeight="1">
      <c r="A983" s="25"/>
      <c r="B983" s="2"/>
      <c r="C983" t="s">
        <v>3434</v>
      </c>
      <c r="D983" s="6">
        <v>1.0</v>
      </c>
      <c r="E983" s="6">
        <v>1.0</v>
      </c>
      <c r="F983" s="6">
        <v>0.0</v>
      </c>
      <c r="G983" s="6">
        <v>1.0</v>
      </c>
      <c r="H983" s="65">
        <v>20000.0</v>
      </c>
      <c r="I983" s="6">
        <v>1.0</v>
      </c>
      <c r="J983" s="35"/>
      <c r="K983" s="35"/>
      <c r="L983" s="35"/>
      <c r="M983" s="16">
        <f t="shared" si="5"/>
        <v>20000</v>
      </c>
      <c r="N983" s="21">
        <f t="shared" si="6"/>
        <v>0</v>
      </c>
    </row>
    <row r="984" ht="13.5" customHeight="1">
      <c r="A984" s="23"/>
      <c r="B984" s="2"/>
      <c r="C984" t="s">
        <v>3437</v>
      </c>
      <c r="D984" s="6">
        <v>1.0</v>
      </c>
      <c r="E984" s="6">
        <v>1.0</v>
      </c>
      <c r="F984" s="6">
        <v>0.0</v>
      </c>
      <c r="G984" s="6">
        <v>1.0</v>
      </c>
      <c r="H984" s="70">
        <v>75000.0</v>
      </c>
      <c r="I984" s="6">
        <v>1.0</v>
      </c>
      <c r="J984" s="35"/>
      <c r="K984" s="35"/>
      <c r="L984" s="35"/>
      <c r="M984" s="16">
        <f t="shared" si="5"/>
        <v>75000</v>
      </c>
      <c r="N984" s="21">
        <f t="shared" si="6"/>
        <v>0</v>
      </c>
    </row>
    <row r="985" ht="13.5" customHeight="1">
      <c r="A985" s="34" t="s">
        <v>3439</v>
      </c>
      <c r="B985" s="2"/>
      <c r="D985" s="6"/>
      <c r="E985" s="6"/>
      <c r="F985" s="6"/>
      <c r="G985" s="6"/>
      <c r="I985" s="6"/>
      <c r="M985" s="16" t="str">
        <f t="shared" si="5"/>
        <v/>
      </c>
      <c r="N985" s="21" t="str">
        <f t="shared" si="6"/>
        <v/>
      </c>
    </row>
    <row r="986" ht="13.5" customHeight="1">
      <c r="A986" s="25"/>
      <c r="B986" s="2"/>
      <c r="C986" s="3" t="s">
        <v>3441</v>
      </c>
      <c r="D986" s="6">
        <v>1.0</v>
      </c>
      <c r="E986" s="6">
        <v>1.0</v>
      </c>
      <c r="F986" s="6">
        <v>0.0</v>
      </c>
      <c r="G986" s="6">
        <v>1.0</v>
      </c>
      <c r="H986" s="6">
        <v>1000.0</v>
      </c>
      <c r="I986" s="6">
        <v>1.0</v>
      </c>
      <c r="M986" s="16">
        <f t="shared" si="5"/>
        <v>1000</v>
      </c>
      <c r="N986" s="21">
        <f t="shared" si="6"/>
        <v>9</v>
      </c>
    </row>
    <row r="987" ht="13.5" customHeight="1">
      <c r="A987" s="25"/>
      <c r="B987" s="2"/>
      <c r="C987" s="3" t="s">
        <v>3443</v>
      </c>
      <c r="D987" s="6">
        <v>1.0</v>
      </c>
      <c r="E987" s="6">
        <v>1.0</v>
      </c>
      <c r="F987" s="6">
        <v>0.0</v>
      </c>
      <c r="G987" s="6">
        <v>1.0</v>
      </c>
      <c r="H987" s="6">
        <v>1000.0</v>
      </c>
      <c r="I987" s="6">
        <v>1.0</v>
      </c>
      <c r="M987" s="16">
        <f t="shared" si="5"/>
        <v>1000</v>
      </c>
      <c r="N987" s="21">
        <f t="shared" si="6"/>
        <v>9</v>
      </c>
    </row>
    <row r="988" ht="13.5" customHeight="1">
      <c r="A988" s="25"/>
      <c r="B988" s="2"/>
      <c r="C988" s="3" t="s">
        <v>3446</v>
      </c>
      <c r="D988" s="6">
        <v>1.0</v>
      </c>
      <c r="E988" s="6">
        <v>1.0</v>
      </c>
      <c r="F988" s="6">
        <v>0.0</v>
      </c>
      <c r="G988" s="6">
        <v>1.0</v>
      </c>
      <c r="H988" s="6">
        <v>1000.0</v>
      </c>
      <c r="I988" s="6">
        <v>1.0</v>
      </c>
      <c r="M988" s="16">
        <f t="shared" si="5"/>
        <v>1000</v>
      </c>
      <c r="N988" s="21">
        <f t="shared" si="6"/>
        <v>9</v>
      </c>
    </row>
    <row r="989" ht="13.5" customHeight="1">
      <c r="A989" s="25"/>
      <c r="B989" s="2"/>
      <c r="C989" s="3" t="s">
        <v>3448</v>
      </c>
      <c r="D989" s="6">
        <v>1.0</v>
      </c>
      <c r="E989" s="6">
        <v>1.0</v>
      </c>
      <c r="F989" s="6">
        <v>0.0</v>
      </c>
      <c r="G989" s="6">
        <v>1.0</v>
      </c>
      <c r="H989" s="6">
        <v>1000.0</v>
      </c>
      <c r="I989" s="6">
        <v>1.0</v>
      </c>
      <c r="M989" s="16">
        <f t="shared" si="5"/>
        <v>1000</v>
      </c>
      <c r="N989" s="21">
        <f t="shared" si="6"/>
        <v>9</v>
      </c>
    </row>
    <row r="990" ht="13.5" customHeight="1">
      <c r="A990" s="25"/>
      <c r="B990" s="2"/>
      <c r="C990" s="3" t="s">
        <v>3450</v>
      </c>
      <c r="D990" s="6">
        <v>1.0</v>
      </c>
      <c r="E990" s="6">
        <v>1.0</v>
      </c>
      <c r="F990" s="6">
        <v>0.0</v>
      </c>
      <c r="G990" s="6">
        <v>1.0</v>
      </c>
      <c r="H990" s="6">
        <v>1000.0</v>
      </c>
      <c r="I990" s="6">
        <v>1.0</v>
      </c>
      <c r="M990" s="16">
        <f t="shared" si="5"/>
        <v>1000</v>
      </c>
      <c r="N990" s="21">
        <f t="shared" si="6"/>
        <v>9</v>
      </c>
    </row>
    <row r="991" ht="13.5" customHeight="1">
      <c r="A991" s="25"/>
      <c r="B991" s="2"/>
      <c r="C991" s="3" t="s">
        <v>3452</v>
      </c>
      <c r="D991" s="6">
        <v>1.0</v>
      </c>
      <c r="E991" s="6">
        <v>1.0</v>
      </c>
      <c r="F991" s="6">
        <v>0.0</v>
      </c>
      <c r="G991" s="6">
        <v>1.0</v>
      </c>
      <c r="H991" s="6">
        <v>4000.0</v>
      </c>
      <c r="I991" s="6">
        <v>1.0</v>
      </c>
      <c r="M991" s="16">
        <f t="shared" si="5"/>
        <v>4000</v>
      </c>
      <c r="N991" s="21">
        <f t="shared" si="6"/>
        <v>2</v>
      </c>
    </row>
    <row r="992" ht="13.5" customHeight="1">
      <c r="A992" s="25"/>
      <c r="B992" s="2"/>
      <c r="C992" s="3" t="s">
        <v>3455</v>
      </c>
      <c r="D992" s="6">
        <v>1.0</v>
      </c>
      <c r="E992" s="6">
        <v>1.0</v>
      </c>
      <c r="F992" s="6">
        <v>0.0</v>
      </c>
      <c r="G992" s="6">
        <v>1.0</v>
      </c>
      <c r="H992" s="6">
        <v>4000.0</v>
      </c>
      <c r="I992" s="6">
        <v>1.0</v>
      </c>
      <c r="M992" s="16">
        <f t="shared" si="5"/>
        <v>4000</v>
      </c>
      <c r="N992" s="21">
        <f t="shared" si="6"/>
        <v>2</v>
      </c>
    </row>
    <row r="993" ht="13.5" customHeight="1">
      <c r="A993" s="25"/>
      <c r="B993" s="2"/>
      <c r="C993" s="3" t="s">
        <v>3458</v>
      </c>
      <c r="D993" s="6">
        <v>1.0</v>
      </c>
      <c r="E993" s="6">
        <v>1.0</v>
      </c>
      <c r="F993" s="6">
        <v>0.0</v>
      </c>
      <c r="G993" s="6">
        <v>1.0</v>
      </c>
      <c r="H993" s="6">
        <v>4000.0</v>
      </c>
      <c r="I993" s="6">
        <v>1.0</v>
      </c>
      <c r="M993" s="16">
        <f t="shared" si="5"/>
        <v>4000</v>
      </c>
      <c r="N993" s="21">
        <f t="shared" si="6"/>
        <v>2</v>
      </c>
    </row>
    <row r="994" ht="13.5" customHeight="1">
      <c r="A994" s="25"/>
      <c r="B994" s="2"/>
      <c r="C994" s="3" t="s">
        <v>3459</v>
      </c>
      <c r="D994" s="6">
        <v>1.0</v>
      </c>
      <c r="E994" s="6">
        <v>1.0</v>
      </c>
      <c r="F994" s="6">
        <v>0.0</v>
      </c>
      <c r="G994" s="6">
        <v>1.0</v>
      </c>
      <c r="H994" s="6">
        <v>10000.0</v>
      </c>
      <c r="I994" s="6">
        <v>1.0</v>
      </c>
      <c r="M994" s="16">
        <f t="shared" si="5"/>
        <v>10000</v>
      </c>
      <c r="N994" s="21">
        <f t="shared" si="6"/>
        <v>1</v>
      </c>
    </row>
    <row r="995" ht="13.5" customHeight="1">
      <c r="A995" s="25"/>
      <c r="B995" s="2"/>
      <c r="C995" s="3" t="s">
        <v>3461</v>
      </c>
      <c r="D995" s="6">
        <v>1.0</v>
      </c>
      <c r="E995" s="6">
        <v>1.0</v>
      </c>
      <c r="F995" s="6">
        <v>0.0</v>
      </c>
      <c r="G995" s="6">
        <v>1.0</v>
      </c>
      <c r="H995" s="6">
        <v>10000.0</v>
      </c>
      <c r="I995" s="6">
        <v>1.0</v>
      </c>
      <c r="M995" s="16">
        <f t="shared" si="5"/>
        <v>10000</v>
      </c>
      <c r="N995" s="21">
        <f t="shared" si="6"/>
        <v>1</v>
      </c>
    </row>
    <row r="996" ht="13.5" customHeight="1">
      <c r="A996" s="25"/>
      <c r="B996" s="2"/>
      <c r="C996" s="3" t="s">
        <v>3464</v>
      </c>
      <c r="D996" s="6">
        <v>1.0</v>
      </c>
      <c r="E996" s="6">
        <v>1.0</v>
      </c>
      <c r="F996" s="6">
        <v>0.0</v>
      </c>
      <c r="G996" s="6">
        <v>1.0</v>
      </c>
      <c r="H996" s="6">
        <v>10000.0</v>
      </c>
      <c r="I996" s="6">
        <v>1.0</v>
      </c>
      <c r="M996" s="16">
        <f t="shared" si="5"/>
        <v>10000</v>
      </c>
      <c r="N996" s="21">
        <f t="shared" si="6"/>
        <v>1</v>
      </c>
    </row>
  </sheetData>
  <conditionalFormatting sqref="G:G">
    <cfRule type="cellIs" dxfId="0" priority="1" operator="equal">
      <formula>1</formula>
    </cfRule>
  </conditionalFormatting>
  <conditionalFormatting sqref="G:G">
    <cfRule type="cellIs" dxfId="1" priority="2" operator="equal">
      <formula>2</formula>
    </cfRule>
  </conditionalFormatting>
  <conditionalFormatting sqref="G:G">
    <cfRule type="cellIs" dxfId="2" priority="3" operator="equal">
      <formula>3</formula>
    </cfRule>
  </conditionalFormatting>
  <conditionalFormatting sqref="G:G">
    <cfRule type="cellIs" dxfId="3" priority="4" operator="equal">
      <formula>4</formula>
    </cfRule>
  </conditionalFormatting>
  <conditionalFormatting sqref="E6:E996">
    <cfRule type="expression" dxfId="4" priority="5">
      <formula>and(not(isblank(D6)),D6=0,E6=1)</formula>
    </cfRule>
  </conditionalFormatting>
  <conditionalFormatting sqref="D:F">
    <cfRule type="cellIs" dxfId="5" priority="6" operator="equal">
      <formula>0</formula>
    </cfRule>
  </conditionalFormatting>
  <conditionalFormatting sqref="D:F">
    <cfRule type="cellIs" dxfId="6" priority="7" operator="equal">
      <formula>1</formula>
    </cfRule>
  </conditionalFormatting>
  <conditionalFormatting sqref="N:N">
    <cfRule type="colorScale" priority="8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M:M">
    <cfRule type="colorScale" priority="9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1.86"/>
    <col customWidth="1" min="2" max="2" width="26.14"/>
    <col customWidth="1" min="3" max="3" width="55.0"/>
    <col customWidth="1" min="4" max="4" width="35.57"/>
    <col customWidth="1" min="5" max="5" width="58.57"/>
    <col customWidth="1" min="6" max="6" width="53.71"/>
  </cols>
  <sheetData>
    <row r="1" ht="12.0" customHeight="1">
      <c r="A1" s="1"/>
      <c r="B1" s="2"/>
      <c r="C1" s="3"/>
      <c r="D1" s="3"/>
      <c r="E1" s="3"/>
      <c r="F1" s="3"/>
    </row>
    <row r="2" ht="12.0" customHeight="1">
      <c r="A2" s="4"/>
      <c r="B2" s="2"/>
      <c r="F2" s="3"/>
    </row>
    <row r="3" ht="12.0" customHeight="1">
      <c r="A3" s="4"/>
      <c r="B3" s="2"/>
      <c r="F3" s="3"/>
    </row>
    <row r="4" ht="12.0" customHeight="1">
      <c r="A4" s="5" t="s">
        <v>2</v>
      </c>
      <c r="B4" s="10" t="s">
        <v>3</v>
      </c>
      <c r="C4" s="11"/>
      <c r="D4" s="11"/>
      <c r="E4" s="13" t="s">
        <v>54</v>
      </c>
      <c r="F4" s="15" t="s">
        <v>63</v>
      </c>
    </row>
    <row r="5" ht="12.0" customHeight="1">
      <c r="A5" s="4" t="str">
        <f>'RHS INPUT'!C5</f>
        <v/>
      </c>
      <c r="B5" s="18" t="str">
        <f>if(isblank('RHS INPUT'!A5),,CONCATENATE("/*  ",'RHS INPUT'!A5,"  */"))</f>
        <v>/*  BACKPACKS  */</v>
      </c>
      <c r="C5" s="22" t="str">
        <f>if(isblank(A5),,if('RHS INPUT'!D5=1,Concatenate("class ",'RHS INPUT'!C5),))</f>
        <v/>
      </c>
      <c r="D5" s="27" t="str">
        <f>if(ISBLANK(A5),,if('RHS INPUT'!D5=1,CONCATENATE("{quality = ",'RHS INPUT'!G5,"; price = ",Round('RHS INPUT'!M5),";};"),""))</f>
        <v/>
      </c>
      <c r="E5" t="str">
        <f>IFERROR(__xludf.DUMMYFUNCTION("if(ISBLANK(A5),, if('RHS INPUT'!E5=1,CONCATENATE(CHAR(34),To_Text('RHS INPUT'!C5),CHAR(34),CHAR(44)),""""))"),"")</f>
        <v/>
      </c>
      <c r="F5" s="28" t="str">
        <f>IF(isblank(A5) ,Concatenate("&gt; ",'RHS INPUT'!A5) , if('RHS INPUT'!F5=1,CONCATENATE(round('RHS INPUT'!N5),Char(44)," ",'RHS INPUT'!C5),""))</f>
        <v>&gt; BACKPACKS</v>
      </c>
    </row>
    <row r="6" ht="12.0" customHeight="1">
      <c r="A6" s="1" t="str">
        <f>IFERROR(__xludf.DUMMYFUNCTION("if(ISBLANK('RHS INPUT'!C6),,CONCATENATE(CHAR(34),To_Text('RHS INPUT'!C6),CHAR(34),CHAR(44)))"),"""B_AssaultPack_blk"",")</f>
        <v>"B_AssaultPack_blk",</v>
      </c>
      <c r="B6" s="18" t="str">
        <f>if(isblank('RHS INPUT'!A6),,CONCATENATE("/*  ",'RHS INPUT'!A6,"  */"))</f>
        <v/>
      </c>
      <c r="C6" s="22" t="str">
        <f>if(isblank(A6),,if('RHS INPUT'!D6=1,Concatenate("class ",'RHS INPUT'!C6),))</f>
        <v>class B_AssaultPack_blk</v>
      </c>
      <c r="D6" s="27" t="str">
        <f>if(ISBLANK(A6),,if('RHS INPUT'!D6=1,CONCATENATE("{quality = ",'RHS INPUT'!G6,"; price = ",Round('RHS INPUT'!M6),";};"),""))</f>
        <v>{quality = 2; price = 320;};</v>
      </c>
      <c r="E6" t="str">
        <f>IFERROR(__xludf.DUMMYFUNCTION("if(ISBLANK(A6),, if('RHS INPUT'!E6=1,CONCATENATE(CHAR(34),To_Text('RHS INPUT'!C6),CHAR(34),CHAR(44)),""""))"),"""B_AssaultPack_blk"",")</f>
        <v>"B_AssaultPack_blk",</v>
      </c>
      <c r="F6" s="28" t="str">
        <f>IF(isblank(A6) ,Concatenate("&gt; ",'RHS INPUT'!A6) , if('RHS INPUT'!F6=1,CONCATENATE(round('RHS INPUT'!N6),Char(44)," ",'RHS INPUT'!C6),""))</f>
        <v>24, B_AssaultPack_blk</v>
      </c>
    </row>
    <row r="7" ht="12.0" customHeight="1">
      <c r="A7" s="1" t="str">
        <f>IFERROR(__xludf.DUMMYFUNCTION("if(ISBLANK('RHS INPUT'!C7),,CONCATENATE(CHAR(34),To_Text('RHS INPUT'!C7),CHAR(34),CHAR(44)))"),"""B_AssaultPack_cbr"",")</f>
        <v>"B_AssaultPack_cbr",</v>
      </c>
      <c r="B7" s="18" t="str">
        <f>if(isblank('RHS INPUT'!A7),,CONCATENATE("/*  ",'RHS INPUT'!A7,"  */"))</f>
        <v/>
      </c>
      <c r="C7" s="22" t="str">
        <f>if(isblank(A7),,if('RHS INPUT'!D7=1,Concatenate("class ",'RHS INPUT'!C7),))</f>
        <v>class B_AssaultPack_cbr</v>
      </c>
      <c r="D7" s="27" t="str">
        <f>if(ISBLANK(A7),,if('RHS INPUT'!D7=1,CONCATENATE("{quality = ",'RHS INPUT'!G7,"; price = ",Round('RHS INPUT'!M7),";};"),""))</f>
        <v>{quality = 2; price = 320;};</v>
      </c>
      <c r="E7" t="str">
        <f>IFERROR(__xludf.DUMMYFUNCTION("if(ISBLANK(A7),, if('RHS INPUT'!E7=1,CONCATENATE(CHAR(34),To_Text('RHS INPUT'!C7),CHAR(34),CHAR(44)),""""))"),"""B_AssaultPack_cbr"",")</f>
        <v>"B_AssaultPack_cbr",</v>
      </c>
      <c r="F7" s="28" t="str">
        <f>IF(isblank(A7) ,Concatenate("&gt; ",'RHS INPUT'!A7) , if('RHS INPUT'!F7=1,CONCATENATE(round('RHS INPUT'!N7),Char(44)," ",'RHS INPUT'!C7),""))</f>
        <v>24, B_AssaultPack_cbr</v>
      </c>
    </row>
    <row r="8" ht="12.0" customHeight="1">
      <c r="A8" s="1" t="str">
        <f>IFERROR(__xludf.DUMMYFUNCTION("if(ISBLANK('RHS INPUT'!C8),,CONCATENATE(CHAR(34),To_Text('RHS INPUT'!C8),CHAR(34),CHAR(44)))"),"""B_AssaultPack_dgtl"",")</f>
        <v>"B_AssaultPack_dgtl",</v>
      </c>
      <c r="B8" s="18" t="str">
        <f>if(isblank('RHS INPUT'!A8),,CONCATENATE("/*  ",'RHS INPUT'!A8,"  */"))</f>
        <v/>
      </c>
      <c r="C8" s="22" t="str">
        <f>if(isblank(A8),,if('RHS INPUT'!D8=1,Concatenate("class ",'RHS INPUT'!C8),))</f>
        <v>class B_AssaultPack_dgtl</v>
      </c>
      <c r="D8" s="27" t="str">
        <f>if(ISBLANK(A8),,if('RHS INPUT'!D8=1,CONCATENATE("{quality = ",'RHS INPUT'!G8,"; price = ",Round('RHS INPUT'!M8),";};"),""))</f>
        <v>{quality = 2; price = 320;};</v>
      </c>
      <c r="E8" t="str">
        <f>IFERROR(__xludf.DUMMYFUNCTION("if(ISBLANK(A8),, if('RHS INPUT'!E8=1,CONCATENATE(CHAR(34),To_Text('RHS INPUT'!C8),CHAR(34),CHAR(44)),""""))"),"""B_AssaultPack_dgtl"",")</f>
        <v>"B_AssaultPack_dgtl",</v>
      </c>
      <c r="F8" s="28" t="str">
        <f>IF(isblank(A8) ,Concatenate("&gt; ",'RHS INPUT'!A8) , if('RHS INPUT'!F8=1,CONCATENATE(round('RHS INPUT'!N8),Char(44)," ",'RHS INPUT'!C8),""))</f>
        <v>24, B_AssaultPack_dgtl</v>
      </c>
    </row>
    <row r="9" ht="12.0" customHeight="1">
      <c r="A9" s="1" t="str">
        <f>IFERROR(__xludf.DUMMYFUNCTION("if(ISBLANK('RHS INPUT'!C9),,CONCATENATE(CHAR(34),To_Text('RHS INPUT'!C9),CHAR(34),CHAR(44)))"),"""B_AssaultPack_khk"",")</f>
        <v>"B_AssaultPack_khk",</v>
      </c>
      <c r="B9" s="18" t="str">
        <f>if(isblank('RHS INPUT'!A9),,CONCATENATE("/*  ",'RHS INPUT'!A9,"  */"))</f>
        <v/>
      </c>
      <c r="C9" s="22" t="str">
        <f>if(isblank(A9),,if('RHS INPUT'!D9=1,Concatenate("class ",'RHS INPUT'!C9),))</f>
        <v>class B_AssaultPack_khk</v>
      </c>
      <c r="D9" s="27" t="str">
        <f>if(ISBLANK(A9),,if('RHS INPUT'!D9=1,CONCATENATE("{quality = ",'RHS INPUT'!G9,"; price = ",Round('RHS INPUT'!M9),";};"),""))</f>
        <v>{quality = 2; price = 320;};</v>
      </c>
      <c r="E9" t="str">
        <f>IFERROR(__xludf.DUMMYFUNCTION("if(ISBLANK(A9),, if('RHS INPUT'!E9=1,CONCATENATE(CHAR(34),To_Text('RHS INPUT'!C9),CHAR(34),CHAR(44)),""""))"),"""B_AssaultPack_khk"",")</f>
        <v>"B_AssaultPack_khk",</v>
      </c>
      <c r="F9" s="28" t="str">
        <f>IF(isblank(A9) ,Concatenate("&gt; ",'RHS INPUT'!A9) , if('RHS INPUT'!F9=1,CONCATENATE(round('RHS INPUT'!N9),Char(44)," ",'RHS INPUT'!C9),""))</f>
        <v>24, B_AssaultPack_khk</v>
      </c>
    </row>
    <row r="10" ht="12.0" customHeight="1">
      <c r="A10" s="1" t="str">
        <f>IFERROR(__xludf.DUMMYFUNCTION("if(ISBLANK('RHS INPUT'!C10),,CONCATENATE(CHAR(34),To_Text('RHS INPUT'!C10),CHAR(34),CHAR(44)))"),"""B_AssaultPack_mcamo"",")</f>
        <v>"B_AssaultPack_mcamo",</v>
      </c>
      <c r="B10" s="18" t="str">
        <f>if(isblank('RHS INPUT'!A10),,CONCATENATE("/*  ",'RHS INPUT'!A10,"  */"))</f>
        <v/>
      </c>
      <c r="C10" s="22" t="str">
        <f>if(isblank(A10),,if('RHS INPUT'!D10=1,Concatenate("class ",'RHS INPUT'!C10),))</f>
        <v>class B_AssaultPack_mcamo</v>
      </c>
      <c r="D10" s="27" t="str">
        <f>if(ISBLANK(A10),,if('RHS INPUT'!D10=1,CONCATENATE("{quality = ",'RHS INPUT'!G10,"; price = ",Round('RHS INPUT'!M10),";};"),""))</f>
        <v>{quality = 2; price = 320;};</v>
      </c>
      <c r="E10" t="str">
        <f>IFERROR(__xludf.DUMMYFUNCTION("if(ISBLANK(A10),, if('RHS INPUT'!E10=1,CONCATENATE(CHAR(34),To_Text('RHS INPUT'!C10),CHAR(34),CHAR(44)),""""))"),"""B_AssaultPack_mcamo"",")</f>
        <v>"B_AssaultPack_mcamo",</v>
      </c>
      <c r="F10" s="28" t="str">
        <f>IF(isblank(A10) ,Concatenate("&gt; ",'RHS INPUT'!A10) , if('RHS INPUT'!F10=1,CONCATENATE(round('RHS INPUT'!N10),Char(44)," ",'RHS INPUT'!C10),""))</f>
        <v>24, B_AssaultPack_mcamo</v>
      </c>
    </row>
    <row r="11" ht="12.0" customHeight="1">
      <c r="A11" s="1" t="str">
        <f>IFERROR(__xludf.DUMMYFUNCTION("if(ISBLANK('RHS INPUT'!C11),,CONCATENATE(CHAR(34),To_Text('RHS INPUT'!C11),CHAR(34),CHAR(44)))"),"""B_AssaultPack_rgr"",")</f>
        <v>"B_AssaultPack_rgr",</v>
      </c>
      <c r="B11" s="18" t="str">
        <f>if(isblank('RHS INPUT'!A11),,CONCATENATE("/*  ",'RHS INPUT'!A11,"  */"))</f>
        <v/>
      </c>
      <c r="C11" s="22" t="str">
        <f>if(isblank(A11),,if('RHS INPUT'!D11=1,Concatenate("class ",'RHS INPUT'!C11),))</f>
        <v>class B_AssaultPack_rgr</v>
      </c>
      <c r="D11" s="27" t="str">
        <f>if(ISBLANK(A11),,if('RHS INPUT'!D11=1,CONCATENATE("{quality = ",'RHS INPUT'!G11,"; price = ",Round('RHS INPUT'!M11),";};"),""))</f>
        <v>{quality = 2; price = 320;};</v>
      </c>
      <c r="E11" t="str">
        <f>IFERROR(__xludf.DUMMYFUNCTION("if(ISBLANK(A11),, if('RHS INPUT'!E11=1,CONCATENATE(CHAR(34),To_Text('RHS INPUT'!C11),CHAR(34),CHAR(44)),""""))"),"""B_AssaultPack_rgr"",")</f>
        <v>"B_AssaultPack_rgr",</v>
      </c>
      <c r="F11" s="28" t="str">
        <f>IF(isblank(A11) ,Concatenate("&gt; ",'RHS INPUT'!A11) , if('RHS INPUT'!F11=1,CONCATENATE(round('RHS INPUT'!N11),Char(44)," ",'RHS INPUT'!C11),""))</f>
        <v>24, B_AssaultPack_rgr</v>
      </c>
    </row>
    <row r="12" ht="12.0" customHeight="1">
      <c r="A12" s="1" t="str">
        <f>IFERROR(__xludf.DUMMYFUNCTION("if(ISBLANK('RHS INPUT'!C12),,CONCATENATE(CHAR(34),To_Text('RHS INPUT'!C12),CHAR(34),CHAR(44)))"),"""B_AssaultPack_sgg"",")</f>
        <v>"B_AssaultPack_sgg",</v>
      </c>
      <c r="B12" s="18" t="str">
        <f>if(isblank('RHS INPUT'!A12),,CONCATENATE("/*  ",'RHS INPUT'!A12,"  */"))</f>
        <v/>
      </c>
      <c r="C12" s="22" t="str">
        <f>if(isblank(A12),,if('RHS INPUT'!D12=1,Concatenate("class ",'RHS INPUT'!C12),))</f>
        <v>class B_AssaultPack_sgg</v>
      </c>
      <c r="D12" s="27" t="str">
        <f>if(ISBLANK(A12),,if('RHS INPUT'!D12=1,CONCATENATE("{quality = ",'RHS INPUT'!G12,"; price = ",Round('RHS INPUT'!M12),";};"),""))</f>
        <v>{quality = 2; price = 320;};</v>
      </c>
      <c r="E12" t="str">
        <f>IFERROR(__xludf.DUMMYFUNCTION("if(ISBLANK(A12),, if('RHS INPUT'!E12=1,CONCATENATE(CHAR(34),To_Text('RHS INPUT'!C12),CHAR(34),CHAR(44)),""""))"),"""B_AssaultPack_sgg"",")</f>
        <v>"B_AssaultPack_sgg",</v>
      </c>
      <c r="F12" s="28" t="str">
        <f>IF(isblank(A12) ,Concatenate("&gt; ",'RHS INPUT'!A12) , if('RHS INPUT'!F12=1,CONCATENATE(round('RHS INPUT'!N12),Char(44)," ",'RHS INPUT'!C12),""))</f>
        <v>24, B_AssaultPack_sgg</v>
      </c>
    </row>
    <row r="13" ht="12.0" customHeight="1">
      <c r="A13" s="1" t="str">
        <f>IFERROR(__xludf.DUMMYFUNCTION("if(ISBLANK('RHS INPUT'!C13),,CONCATENATE(CHAR(34),To_Text('RHS INPUT'!C13),CHAR(34),CHAR(44)))"),"""B_FieldPack_blk"",")</f>
        <v>"B_FieldPack_blk",</v>
      </c>
      <c r="B13" s="18" t="str">
        <f>if(isblank('RHS INPUT'!A13),,CONCATENATE("/*  ",'RHS INPUT'!A13,"  */"))</f>
        <v/>
      </c>
      <c r="C13" s="22" t="str">
        <f>if(isblank(A13),,if('RHS INPUT'!D13=1,Concatenate("class ",'RHS INPUT'!C13),))</f>
        <v>class B_FieldPack_blk</v>
      </c>
      <c r="D13" s="27" t="str">
        <f>if(ISBLANK(A13),,if('RHS INPUT'!D13=1,CONCATENATE("{quality = ",'RHS INPUT'!G13,"; price = ",Round('RHS INPUT'!M13),";};"),""))</f>
        <v>{quality = 2; price = 400;};</v>
      </c>
      <c r="E13" t="str">
        <f>IFERROR(__xludf.DUMMYFUNCTION("if(ISBLANK(A13),, if('RHS INPUT'!E13=1,CONCATENATE(CHAR(34),To_Text('RHS INPUT'!C13),CHAR(34),CHAR(44)),""""))"),"""B_FieldPack_blk"",")</f>
        <v>"B_FieldPack_blk",</v>
      </c>
      <c r="F13" s="28" t="str">
        <f>IF(isblank(A13) ,Concatenate("&gt; ",'RHS INPUT'!A13) , if('RHS INPUT'!F13=1,CONCATENATE(round('RHS INPUT'!N13),Char(44)," ",'RHS INPUT'!C13),""))</f>
        <v>20, B_FieldPack_blk</v>
      </c>
    </row>
    <row r="14" ht="12.0" customHeight="1">
      <c r="A14" s="1" t="str">
        <f>IFERROR(__xludf.DUMMYFUNCTION("if(ISBLANK('RHS INPUT'!C14),,CONCATENATE(CHAR(34),To_Text('RHS INPUT'!C14),CHAR(34),CHAR(44)))"),"""B_FieldPack_cbr"",")</f>
        <v>"B_FieldPack_cbr",</v>
      </c>
      <c r="B14" s="18" t="str">
        <f>if(isblank('RHS INPUT'!A14),,CONCATENATE("/*  ",'RHS INPUT'!A14,"  */"))</f>
        <v/>
      </c>
      <c r="C14" s="22" t="str">
        <f>if(isblank(A14),,if('RHS INPUT'!D14=1,Concatenate("class ",'RHS INPUT'!C14),))</f>
        <v>class B_FieldPack_cbr</v>
      </c>
      <c r="D14" s="27" t="str">
        <f>if(ISBLANK(A14),,if('RHS INPUT'!D14=1,CONCATENATE("{quality = ",'RHS INPUT'!G14,"; price = ",Round('RHS INPUT'!M14),";};"),""))</f>
        <v>{quality = 2; price = 400;};</v>
      </c>
      <c r="E14" t="str">
        <f>IFERROR(__xludf.DUMMYFUNCTION("if(ISBLANK(A14),, if('RHS INPUT'!E14=1,CONCATENATE(CHAR(34),To_Text('RHS INPUT'!C14),CHAR(34),CHAR(44)),""""))"),"""B_FieldPack_cbr"",")</f>
        <v>"B_FieldPack_cbr",</v>
      </c>
      <c r="F14" s="28" t="str">
        <f>IF(isblank(A14) ,Concatenate("&gt; ",'RHS INPUT'!A14) , if('RHS INPUT'!F14=1,CONCATENATE(round('RHS INPUT'!N14),Char(44)," ",'RHS INPUT'!C14),""))</f>
        <v>20, B_FieldPack_cbr</v>
      </c>
    </row>
    <row r="15" ht="12.0" customHeight="1">
      <c r="A15" s="1" t="str">
        <f>IFERROR(__xludf.DUMMYFUNCTION("if(ISBLANK('RHS INPUT'!C15),,CONCATENATE(CHAR(34),To_Text('RHS INPUT'!C15),CHAR(34),CHAR(44)))"),"""B_FieldPack_ocamo"",")</f>
        <v>"B_FieldPack_ocamo",</v>
      </c>
      <c r="B15" s="18" t="str">
        <f>if(isblank('RHS INPUT'!A15),,CONCATENATE("/*  ",'RHS INPUT'!A15,"  */"))</f>
        <v/>
      </c>
      <c r="C15" s="22" t="str">
        <f>if(isblank(A15),,if('RHS INPUT'!D15=1,Concatenate("class ",'RHS INPUT'!C15),))</f>
        <v>class B_FieldPack_ocamo</v>
      </c>
      <c r="D15" s="27" t="str">
        <f>if(ISBLANK(A15),,if('RHS INPUT'!D15=1,CONCATENATE("{quality = ",'RHS INPUT'!G15,"; price = ",Round('RHS INPUT'!M15),";};"),""))</f>
        <v>{quality = 2; price = 400;};</v>
      </c>
      <c r="E15" t="str">
        <f>IFERROR(__xludf.DUMMYFUNCTION("if(ISBLANK(A15),, if('RHS INPUT'!E15=1,CONCATENATE(CHAR(34),To_Text('RHS INPUT'!C15),CHAR(34),CHAR(44)),""""))"),"""B_FieldPack_ocamo"",")</f>
        <v>"B_FieldPack_ocamo",</v>
      </c>
      <c r="F15" s="28" t="str">
        <f>IF(isblank(A15) ,Concatenate("&gt; ",'RHS INPUT'!A15) , if('RHS INPUT'!F15=1,CONCATENATE(round('RHS INPUT'!N15),Char(44)," ",'RHS INPUT'!C15),""))</f>
        <v>20, B_FieldPack_ocamo</v>
      </c>
    </row>
    <row r="16" ht="12.0" customHeight="1">
      <c r="A16" s="1" t="str">
        <f>IFERROR(__xludf.DUMMYFUNCTION("if(ISBLANK('RHS INPUT'!C16),,CONCATENATE(CHAR(34),To_Text('RHS INPUT'!C16),CHAR(34),CHAR(44)))"),"""B_FieldPack_oucamo"",")</f>
        <v>"B_FieldPack_oucamo",</v>
      </c>
      <c r="B16" s="18" t="str">
        <f>if(isblank('RHS INPUT'!A16),,CONCATENATE("/*  ",'RHS INPUT'!A16,"  */"))</f>
        <v/>
      </c>
      <c r="C16" s="22" t="str">
        <f>if(isblank(A16),,if('RHS INPUT'!D16=1,Concatenate("class ",'RHS INPUT'!C16),))</f>
        <v>class B_FieldPack_oucamo</v>
      </c>
      <c r="D16" s="27" t="str">
        <f>if(ISBLANK(A16),,if('RHS INPUT'!D16=1,CONCATENATE("{quality = ",'RHS INPUT'!G16,"; price = ",Round('RHS INPUT'!M16),";};"),""))</f>
        <v>{quality = 2; price = 400;};</v>
      </c>
      <c r="E16" t="str">
        <f>IFERROR(__xludf.DUMMYFUNCTION("if(ISBLANK(A16),, if('RHS INPUT'!E16=1,CONCATENATE(CHAR(34),To_Text('RHS INPUT'!C16),CHAR(34),CHAR(44)),""""))"),"""B_FieldPack_oucamo"",")</f>
        <v>"B_FieldPack_oucamo",</v>
      </c>
      <c r="F16" s="28" t="str">
        <f>IF(isblank(A16) ,Concatenate("&gt; ",'RHS INPUT'!A16) , if('RHS INPUT'!F16=1,CONCATENATE(round('RHS INPUT'!N16),Char(44)," ",'RHS INPUT'!C16),""))</f>
        <v>20, B_FieldPack_oucamo</v>
      </c>
    </row>
    <row r="17" ht="12.0" customHeight="1">
      <c r="A17" s="1" t="str">
        <f>IFERROR(__xludf.DUMMYFUNCTION("if(ISBLANK('RHS INPUT'!C17),,CONCATENATE(CHAR(34),To_Text('RHS INPUT'!C17),CHAR(34),CHAR(44)))"),"""B_TacticalPack_blk"",")</f>
        <v>"B_TacticalPack_blk",</v>
      </c>
      <c r="B17" s="18" t="str">
        <f>if(isblank('RHS INPUT'!A17),,CONCATENATE("/*  ",'RHS INPUT'!A17,"  */"))</f>
        <v/>
      </c>
      <c r="C17" s="22" t="str">
        <f>if(isblank(A17),,if('RHS INPUT'!D17=1,Concatenate("class ",'RHS INPUT'!C17),))</f>
        <v>class B_TacticalPack_blk</v>
      </c>
      <c r="D17" s="27" t="str">
        <f>if(ISBLANK(A17),,if('RHS INPUT'!D17=1,CONCATENATE("{quality = ",'RHS INPUT'!G17,"; price = ",Round('RHS INPUT'!M17),";};"),""))</f>
        <v>{quality = 2; price = 480;};</v>
      </c>
      <c r="E17" t="str">
        <f>IFERROR(__xludf.DUMMYFUNCTION("if(ISBLANK(A17),, if('RHS INPUT'!E17=1,CONCATENATE(CHAR(34),To_Text('RHS INPUT'!C17),CHAR(34),CHAR(44)),""""))"),"""B_TacticalPack_blk"",")</f>
        <v>"B_TacticalPack_blk",</v>
      </c>
      <c r="F17" s="28" t="str">
        <f>IF(isblank(A17) ,Concatenate("&gt; ",'RHS INPUT'!A17) , if('RHS INPUT'!F17=1,CONCATENATE(round('RHS INPUT'!N17),Char(44)," ",'RHS INPUT'!C17),""))</f>
        <v>17, B_TacticalPack_blk</v>
      </c>
    </row>
    <row r="18" ht="12.0" customHeight="1">
      <c r="A18" s="1" t="str">
        <f>IFERROR(__xludf.DUMMYFUNCTION("if(ISBLANK('RHS INPUT'!C18),,CONCATENATE(CHAR(34),To_Text('RHS INPUT'!C18),CHAR(34),CHAR(44)))"),"""B_TacticalPack_rgr"",")</f>
        <v>"B_TacticalPack_rgr",</v>
      </c>
      <c r="B18" s="18" t="str">
        <f>if(isblank('RHS INPUT'!A18),,CONCATENATE("/*  ",'RHS INPUT'!A18,"  */"))</f>
        <v/>
      </c>
      <c r="C18" s="22" t="str">
        <f>if(isblank(A18),,if('RHS INPUT'!D18=1,Concatenate("class ",'RHS INPUT'!C18),))</f>
        <v>class B_TacticalPack_rgr</v>
      </c>
      <c r="D18" s="27" t="str">
        <f>if(ISBLANK(A18),,if('RHS INPUT'!D18=1,CONCATENATE("{quality = ",'RHS INPUT'!G18,"; price = ",Round('RHS INPUT'!M18),";};"),""))</f>
        <v>{quality = 2; price = 480;};</v>
      </c>
      <c r="E18" t="str">
        <f>IFERROR(__xludf.DUMMYFUNCTION("if(ISBLANK(A18),, if('RHS INPUT'!E18=1,CONCATENATE(CHAR(34),To_Text('RHS INPUT'!C18),CHAR(34),CHAR(44)),""""))"),"""B_TacticalPack_rgr"",")</f>
        <v>"B_TacticalPack_rgr",</v>
      </c>
      <c r="F18" s="28" t="str">
        <f>IF(isblank(A18) ,Concatenate("&gt; ",'RHS INPUT'!A18) , if('RHS INPUT'!F18=1,CONCATENATE(round('RHS INPUT'!N18),Char(44)," ",'RHS INPUT'!C18),""))</f>
        <v>17, B_TacticalPack_rgr</v>
      </c>
    </row>
    <row r="19" ht="12.0" customHeight="1">
      <c r="A19" s="1" t="str">
        <f>IFERROR(__xludf.DUMMYFUNCTION("if(ISBLANK('RHS INPUT'!C19),,CONCATENATE(CHAR(34),To_Text('RHS INPUT'!C19),CHAR(34),CHAR(44)))"),"""B_TacticalPack_ocamo"",")</f>
        <v>"B_TacticalPack_ocamo",</v>
      </c>
      <c r="B19" s="18" t="str">
        <f>if(isblank('RHS INPUT'!A19),,CONCATENATE("/*  ",'RHS INPUT'!A19,"  */"))</f>
        <v/>
      </c>
      <c r="C19" s="22" t="str">
        <f>if(isblank(A19),,if('RHS INPUT'!D19=1,Concatenate("class ",'RHS INPUT'!C19),))</f>
        <v>class B_TacticalPack_ocamo</v>
      </c>
      <c r="D19" s="27" t="str">
        <f>if(ISBLANK(A19),,if('RHS INPUT'!D19=1,CONCATENATE("{quality = ",'RHS INPUT'!G19,"; price = ",Round('RHS INPUT'!M19),";};"),""))</f>
        <v>{quality = 2; price = 480;};</v>
      </c>
      <c r="E19" t="str">
        <f>IFERROR(__xludf.DUMMYFUNCTION("if(ISBLANK(A19),, if('RHS INPUT'!E19=1,CONCATENATE(CHAR(34),To_Text('RHS INPUT'!C19),CHAR(34),CHAR(44)),""""))"),"""B_TacticalPack_ocamo"",")</f>
        <v>"B_TacticalPack_ocamo",</v>
      </c>
      <c r="F19" s="28" t="str">
        <f>IF(isblank(A19) ,Concatenate("&gt; ",'RHS INPUT'!A19) , if('RHS INPUT'!F19=1,CONCATENATE(round('RHS INPUT'!N19),Char(44)," ",'RHS INPUT'!C19),""))</f>
        <v>17, B_TacticalPack_ocamo</v>
      </c>
    </row>
    <row r="20" ht="12.0" customHeight="1">
      <c r="A20" s="1" t="str">
        <f>IFERROR(__xludf.DUMMYFUNCTION("if(ISBLANK('RHS INPUT'!C20),,CONCATENATE(CHAR(34),To_Text('RHS INPUT'!C20),CHAR(34),CHAR(44)))"),"""B_TacticalPack_mcamo"",")</f>
        <v>"B_TacticalPack_mcamo",</v>
      </c>
      <c r="B20" s="18" t="str">
        <f>if(isblank('RHS INPUT'!A20),,CONCATENATE("/*  ",'RHS INPUT'!A20,"  */"))</f>
        <v/>
      </c>
      <c r="C20" s="22" t="str">
        <f>if(isblank(A20),,if('RHS INPUT'!D20=1,Concatenate("class ",'RHS INPUT'!C20),))</f>
        <v>class B_TacticalPack_mcamo</v>
      </c>
      <c r="D20" s="27" t="str">
        <f>if(ISBLANK(A20),,if('RHS INPUT'!D20=1,CONCATENATE("{quality = ",'RHS INPUT'!G20,"; price = ",Round('RHS INPUT'!M20),";};"),""))</f>
        <v>{quality = 2; price = 480;};</v>
      </c>
      <c r="E20" t="str">
        <f>IFERROR(__xludf.DUMMYFUNCTION("if(ISBLANK(A20),, if('RHS INPUT'!E20=1,CONCATENATE(CHAR(34),To_Text('RHS INPUT'!C20),CHAR(34),CHAR(44)),""""))"),"""B_TacticalPack_mcamo"",")</f>
        <v>"B_TacticalPack_mcamo",</v>
      </c>
      <c r="F20" s="28" t="str">
        <f>IF(isblank(A20) ,Concatenate("&gt; ",'RHS INPUT'!A20) , if('RHS INPUT'!F20=1,CONCATENATE(round('RHS INPUT'!N20),Char(44)," ",'RHS INPUT'!C20),""))</f>
        <v>17, B_TacticalPack_mcamo</v>
      </c>
    </row>
    <row r="21" ht="12.0" customHeight="1">
      <c r="A21" s="1" t="str">
        <f>IFERROR(__xludf.DUMMYFUNCTION("if(ISBLANK('RHS INPUT'!C21),,CONCATENATE(CHAR(34),To_Text('RHS INPUT'!C21),CHAR(34),CHAR(44)))"),"""B_TacticalPack_oli"",")</f>
        <v>"B_TacticalPack_oli",</v>
      </c>
      <c r="B21" s="18" t="str">
        <f>if(isblank('RHS INPUT'!A21),,CONCATENATE("/*  ",'RHS INPUT'!A21,"  */"))</f>
        <v/>
      </c>
      <c r="C21" s="22" t="str">
        <f>if(isblank(A21),,if('RHS INPUT'!D21=1,Concatenate("class ",'RHS INPUT'!C21),))</f>
        <v>class B_TacticalPack_oli</v>
      </c>
      <c r="D21" s="27" t="str">
        <f>if(ISBLANK(A21),,if('RHS INPUT'!D21=1,CONCATENATE("{quality = ",'RHS INPUT'!G21,"; price = ",Round('RHS INPUT'!M21),";};"),""))</f>
        <v>{quality = 2; price = 480;};</v>
      </c>
      <c r="E21" t="str">
        <f>IFERROR(__xludf.DUMMYFUNCTION("if(ISBLANK(A21),, if('RHS INPUT'!E21=1,CONCATENATE(CHAR(34),To_Text('RHS INPUT'!C21),CHAR(34),CHAR(44)),""""))"),"""B_TacticalPack_oli"",")</f>
        <v>"B_TacticalPack_oli",</v>
      </c>
      <c r="F21" s="28" t="str">
        <f>IF(isblank(A21) ,Concatenate("&gt; ",'RHS INPUT'!A21) , if('RHS INPUT'!F21=1,CONCATENATE(round('RHS INPUT'!N21),Char(44)," ",'RHS INPUT'!C21),""))</f>
        <v>17, B_TacticalPack_oli</v>
      </c>
    </row>
    <row r="22" ht="12.0" customHeight="1">
      <c r="A22" s="1" t="str">
        <f>IFERROR(__xludf.DUMMYFUNCTION("if(ISBLANK('RHS INPUT'!C22),,CONCATENATE(CHAR(34),To_Text('RHS INPUT'!C22),CHAR(34),CHAR(44)))"),"""B_Kitbag_cbr"",")</f>
        <v>"B_Kitbag_cbr",</v>
      </c>
      <c r="B22" s="18" t="str">
        <f>if(isblank('RHS INPUT'!A22),,CONCATENATE("/*  ",'RHS INPUT'!A22,"  */"))</f>
        <v/>
      </c>
      <c r="C22" s="22" t="str">
        <f>if(isblank(A22),,if('RHS INPUT'!D22=1,Concatenate("class ",'RHS INPUT'!C22),))</f>
        <v>class B_Kitbag_cbr</v>
      </c>
      <c r="D22" s="27" t="str">
        <f>if(ISBLANK(A22),,if('RHS INPUT'!D22=1,CONCATENATE("{quality = ",'RHS INPUT'!G22,"; price = ",Round('RHS INPUT'!M22),";};"),""))</f>
        <v>{quality = 3; price = 840;};</v>
      </c>
      <c r="E22" t="str">
        <f>IFERROR(__xludf.DUMMYFUNCTION("if(ISBLANK(A22),, if('RHS INPUT'!E22=1,CONCATENATE(CHAR(34),To_Text('RHS INPUT'!C22),CHAR(34),CHAR(44)),""""))"),"""B_Kitbag_cbr"",")</f>
        <v>"B_Kitbag_cbr",</v>
      </c>
      <c r="F22" s="28" t="str">
        <f>IF(isblank(A22) ,Concatenate("&gt; ",'RHS INPUT'!A22) , if('RHS INPUT'!F22=1,CONCATENATE(round('RHS INPUT'!N22),Char(44)," ",'RHS INPUT'!C22),""))</f>
        <v>11, B_Kitbag_cbr</v>
      </c>
    </row>
    <row r="23" ht="12.0" customHeight="1">
      <c r="A23" s="1" t="str">
        <f>IFERROR(__xludf.DUMMYFUNCTION("if(ISBLANK('RHS INPUT'!C23),,CONCATENATE(CHAR(34),To_Text('RHS INPUT'!C23),CHAR(34),CHAR(44)))"),"""B_Kitbag_mcamo"",")</f>
        <v>"B_Kitbag_mcamo",</v>
      </c>
      <c r="B23" s="18" t="str">
        <f>if(isblank('RHS INPUT'!A23),,CONCATENATE("/*  ",'RHS INPUT'!A23,"  */"))</f>
        <v/>
      </c>
      <c r="C23" s="22" t="str">
        <f>if(isblank(A23),,if('RHS INPUT'!D23=1,Concatenate("class ",'RHS INPUT'!C23),))</f>
        <v>class B_Kitbag_mcamo</v>
      </c>
      <c r="D23" s="27" t="str">
        <f>if(ISBLANK(A23),,if('RHS INPUT'!D23=1,CONCATENATE("{quality = ",'RHS INPUT'!G23,"; price = ",Round('RHS INPUT'!M23),";};"),""))</f>
        <v>{quality = 3; price = 840;};</v>
      </c>
      <c r="E23" t="str">
        <f>IFERROR(__xludf.DUMMYFUNCTION("if(ISBLANK(A23),, if('RHS INPUT'!E23=1,CONCATENATE(CHAR(34),To_Text('RHS INPUT'!C23),CHAR(34),CHAR(44)),""""))"),"""B_Kitbag_mcamo"",")</f>
        <v>"B_Kitbag_mcamo",</v>
      </c>
      <c r="F23" s="28" t="str">
        <f>IF(isblank(A23) ,Concatenate("&gt; ",'RHS INPUT'!A23) , if('RHS INPUT'!F23=1,CONCATENATE(round('RHS INPUT'!N23),Char(44)," ",'RHS INPUT'!C23),""))</f>
        <v>11, B_Kitbag_mcamo</v>
      </c>
    </row>
    <row r="24" ht="12.0" customHeight="1">
      <c r="A24" s="1" t="str">
        <f>IFERROR(__xludf.DUMMYFUNCTION("if(ISBLANK('RHS INPUT'!C24),,CONCATENATE(CHAR(34),To_Text('RHS INPUT'!C24),CHAR(34),CHAR(44)))"),"""B_Kitbag_sgg"",")</f>
        <v>"B_Kitbag_sgg",</v>
      </c>
      <c r="B24" s="18" t="str">
        <f>if(isblank('RHS INPUT'!A24),,CONCATENATE("/*  ",'RHS INPUT'!A24,"  */"))</f>
        <v/>
      </c>
      <c r="C24" s="22" t="str">
        <f>if(isblank(A24),,if('RHS INPUT'!D24=1,Concatenate("class ",'RHS INPUT'!C24),))</f>
        <v>class B_Kitbag_sgg</v>
      </c>
      <c r="D24" s="27" t="str">
        <f>if(ISBLANK(A24),,if('RHS INPUT'!D24=1,CONCATENATE("{quality = ",'RHS INPUT'!G24,"; price = ",Round('RHS INPUT'!M24),";};"),""))</f>
        <v>{quality = 3; price = 840;};</v>
      </c>
      <c r="E24" t="str">
        <f>IFERROR(__xludf.DUMMYFUNCTION("if(ISBLANK(A24),, if('RHS INPUT'!E24=1,CONCATENATE(CHAR(34),To_Text('RHS INPUT'!C24),CHAR(34),CHAR(44)),""""))"),"""B_Kitbag_sgg"",")</f>
        <v>"B_Kitbag_sgg",</v>
      </c>
      <c r="F24" s="28" t="str">
        <f>IF(isblank(A24) ,Concatenate("&gt; ",'RHS INPUT'!A24) , if('RHS INPUT'!F24=1,CONCATENATE(round('RHS INPUT'!N24),Char(44)," ",'RHS INPUT'!C24),""))</f>
        <v>11, B_Kitbag_sgg</v>
      </c>
    </row>
    <row r="25" ht="12.0" customHeight="1">
      <c r="A25" s="1" t="str">
        <f>IFERROR(__xludf.DUMMYFUNCTION("if(ISBLANK('RHS INPUT'!C25),,CONCATENATE(CHAR(34),To_Text('RHS INPUT'!C25),CHAR(34),CHAR(44)))"),"""B_Carryall_cbr"",")</f>
        <v>"B_Carryall_cbr",</v>
      </c>
      <c r="B25" s="18" t="str">
        <f>if(isblank('RHS INPUT'!A25),,CONCATENATE("/*  ",'RHS INPUT'!A25,"  */"))</f>
        <v/>
      </c>
      <c r="C25" s="22" t="str">
        <f>if(isblank(A25),,if('RHS INPUT'!D25=1,Concatenate("class ",'RHS INPUT'!C25),))</f>
        <v>class B_Carryall_cbr</v>
      </c>
      <c r="D25" s="27" t="str">
        <f>if(ISBLANK(A25),,if('RHS INPUT'!D25=1,CONCATENATE("{quality = ",'RHS INPUT'!G25,"; price = ",Round('RHS INPUT'!M25),";};"),""))</f>
        <v>{quality = 3; price = 960;};</v>
      </c>
      <c r="E25" t="str">
        <f>IFERROR(__xludf.DUMMYFUNCTION("if(ISBLANK(A25),, if('RHS INPUT'!E25=1,CONCATENATE(CHAR(34),To_Text('RHS INPUT'!C25),CHAR(34),CHAR(44)),""""))"),"""B_Carryall_cbr"",")</f>
        <v>"B_Carryall_cbr",</v>
      </c>
      <c r="F25" s="28" t="str">
        <f>IF(isblank(A25) ,Concatenate("&gt; ",'RHS INPUT'!A25) , if('RHS INPUT'!F25=1,CONCATENATE(round('RHS INPUT'!N25),Char(44)," ",'RHS INPUT'!C25),""))</f>
        <v>9, B_Carryall_cbr</v>
      </c>
    </row>
    <row r="26" ht="12.0" customHeight="1">
      <c r="A26" s="1" t="str">
        <f>IFERROR(__xludf.DUMMYFUNCTION("if(ISBLANK('RHS INPUT'!C26),,CONCATENATE(CHAR(34),To_Text('RHS INPUT'!C26),CHAR(34),CHAR(44)))"),"""B_Carryall_khk"",")</f>
        <v>"B_Carryall_khk",</v>
      </c>
      <c r="B26" s="18" t="str">
        <f>if(isblank('RHS INPUT'!A26),,CONCATENATE("/*  ",'RHS INPUT'!A26,"  */"))</f>
        <v/>
      </c>
      <c r="C26" s="22" t="str">
        <f>if(isblank(A26),,if('RHS INPUT'!D26=1,Concatenate("class ",'RHS INPUT'!C26),))</f>
        <v>class B_Carryall_khk</v>
      </c>
      <c r="D26" s="27" t="str">
        <f>if(ISBLANK(A26),,if('RHS INPUT'!D26=1,CONCATENATE("{quality = ",'RHS INPUT'!G26,"; price = ",Round('RHS INPUT'!M26),";};"),""))</f>
        <v>{quality = 3; price = 960;};</v>
      </c>
      <c r="E26" t="str">
        <f>IFERROR(__xludf.DUMMYFUNCTION("if(ISBLANK(A26),, if('RHS INPUT'!E26=1,CONCATENATE(CHAR(34),To_Text('RHS INPUT'!C26),CHAR(34),CHAR(44)),""""))"),"""B_Carryall_khk"",")</f>
        <v>"B_Carryall_khk",</v>
      </c>
      <c r="F26" s="28" t="str">
        <f>IF(isblank(A26) ,Concatenate("&gt; ",'RHS INPUT'!A26) , if('RHS INPUT'!F26=1,CONCATENATE(round('RHS INPUT'!N26),Char(44)," ",'RHS INPUT'!C26),""))</f>
        <v>9, B_Carryall_khk</v>
      </c>
    </row>
    <row r="27" ht="12.0" customHeight="1">
      <c r="A27" s="1" t="str">
        <f>IFERROR(__xludf.DUMMYFUNCTION("if(ISBLANK('RHS INPUT'!C27),,CONCATENATE(CHAR(34),To_Text('RHS INPUT'!C27),CHAR(34),CHAR(44)))"),"""B_Carryall_mcamo"",")</f>
        <v>"B_Carryall_mcamo",</v>
      </c>
      <c r="B27" s="18" t="str">
        <f>if(isblank('RHS INPUT'!A27),,CONCATENATE("/*  ",'RHS INPUT'!A27,"  */"))</f>
        <v/>
      </c>
      <c r="C27" s="22" t="str">
        <f>if(isblank(A27),,if('RHS INPUT'!D27=1,Concatenate("class ",'RHS INPUT'!C27),))</f>
        <v>class B_Carryall_mcamo</v>
      </c>
      <c r="D27" s="27" t="str">
        <f>if(ISBLANK(A27),,if('RHS INPUT'!D27=1,CONCATENATE("{quality = ",'RHS INPUT'!G27,"; price = ",Round('RHS INPUT'!M27),";};"),""))</f>
        <v>{quality = 3; price = 960;};</v>
      </c>
      <c r="E27" t="str">
        <f>IFERROR(__xludf.DUMMYFUNCTION("if(ISBLANK(A27),, if('RHS INPUT'!E27=1,CONCATENATE(CHAR(34),To_Text('RHS INPUT'!C27),CHAR(34),CHAR(44)),""""))"),"""B_Carryall_mcamo"",")</f>
        <v>"B_Carryall_mcamo",</v>
      </c>
      <c r="F27" s="28" t="str">
        <f>IF(isblank(A27) ,Concatenate("&gt; ",'RHS INPUT'!A27) , if('RHS INPUT'!F27=1,CONCATENATE(round('RHS INPUT'!N27),Char(44)," ",'RHS INPUT'!C27),""))</f>
        <v>9, B_Carryall_mcamo</v>
      </c>
    </row>
    <row r="28" ht="12.0" customHeight="1">
      <c r="A28" s="1" t="str">
        <f>IFERROR(__xludf.DUMMYFUNCTION("if(ISBLANK('RHS INPUT'!C28),,CONCATENATE(CHAR(34),To_Text('RHS INPUT'!C28),CHAR(34),CHAR(44)))"),"""B_Carryall_ocamo"",")</f>
        <v>"B_Carryall_ocamo",</v>
      </c>
      <c r="B28" s="18" t="str">
        <f>if(isblank('RHS INPUT'!A28),,CONCATENATE("/*  ",'RHS INPUT'!A28,"  */"))</f>
        <v/>
      </c>
      <c r="C28" s="22" t="str">
        <f>if(isblank(A28),,if('RHS INPUT'!D28=1,Concatenate("class ",'RHS INPUT'!C28),))</f>
        <v>class B_Carryall_ocamo</v>
      </c>
      <c r="D28" s="27" t="str">
        <f>if(ISBLANK(A28),,if('RHS INPUT'!D28=1,CONCATENATE("{quality = ",'RHS INPUT'!G28,"; price = ",Round('RHS INPUT'!M28),";};"),""))</f>
        <v>{quality = 3; price = 960;};</v>
      </c>
      <c r="E28" t="str">
        <f>IFERROR(__xludf.DUMMYFUNCTION("if(ISBLANK(A28),, if('RHS INPUT'!E28=1,CONCATENATE(CHAR(34),To_Text('RHS INPUT'!C28),CHAR(34),CHAR(44)),""""))"),"""B_Carryall_ocamo"",")</f>
        <v>"B_Carryall_ocamo",</v>
      </c>
      <c r="F28" s="28" t="str">
        <f>IF(isblank(A28) ,Concatenate("&gt; ",'RHS INPUT'!A28) , if('RHS INPUT'!F28=1,CONCATENATE(round('RHS INPUT'!N28),Char(44)," ",'RHS INPUT'!C28),""))</f>
        <v>9, B_Carryall_ocamo</v>
      </c>
    </row>
    <row r="29" ht="12.0" customHeight="1">
      <c r="A29" s="1" t="str">
        <f>IFERROR(__xludf.DUMMYFUNCTION("if(ISBLANK('RHS INPUT'!C29),,CONCATENATE(CHAR(34),To_Text('RHS INPUT'!C29),CHAR(34),CHAR(44)))"),"""B_Carryall_oli"",")</f>
        <v>"B_Carryall_oli",</v>
      </c>
      <c r="B29" s="18" t="str">
        <f>if(isblank('RHS INPUT'!A29),,CONCATENATE("/*  ",'RHS INPUT'!A29,"  */"))</f>
        <v/>
      </c>
      <c r="C29" s="22" t="str">
        <f>if(isblank(A29),,if('RHS INPUT'!D29=1,Concatenate("class ",'RHS INPUT'!C29),))</f>
        <v>class B_Carryall_oli</v>
      </c>
      <c r="D29" s="27" t="str">
        <f>if(ISBLANK(A29),,if('RHS INPUT'!D29=1,CONCATENATE("{quality = ",'RHS INPUT'!G29,"; price = ",Round('RHS INPUT'!M29),";};"),""))</f>
        <v>{quality = 3; price = 960;};</v>
      </c>
      <c r="E29" t="str">
        <f>IFERROR(__xludf.DUMMYFUNCTION("if(ISBLANK(A29),, if('RHS INPUT'!E29=1,CONCATENATE(CHAR(34),To_Text('RHS INPUT'!C29),CHAR(34),CHAR(44)),""""))"),"""B_Carryall_oli"",")</f>
        <v>"B_Carryall_oli",</v>
      </c>
      <c r="F29" s="28" t="str">
        <f>IF(isblank(A29) ,Concatenate("&gt; ",'RHS INPUT'!A29) , if('RHS INPUT'!F29=1,CONCATENATE(round('RHS INPUT'!N29),Char(44)," ",'RHS INPUT'!C29),""))</f>
        <v>9, B_Carryall_oli</v>
      </c>
    </row>
    <row r="30" ht="12.0" customHeight="1">
      <c r="A30" s="1" t="str">
        <f>IFERROR(__xludf.DUMMYFUNCTION("if(ISBLANK('RHS INPUT'!C30),,CONCATENATE(CHAR(34),To_Text('RHS INPUT'!C30),CHAR(34),CHAR(44)))"),"""B_Carryall_oucamo"",")</f>
        <v>"B_Carryall_oucamo",</v>
      </c>
      <c r="B30" s="18" t="str">
        <f>if(isblank('RHS INPUT'!A30),,CONCATENATE("/*  ",'RHS INPUT'!A30,"  */"))</f>
        <v/>
      </c>
      <c r="C30" s="22" t="str">
        <f>if(isblank(A30),,if('RHS INPUT'!D30=1,Concatenate("class ",'RHS INPUT'!C30),))</f>
        <v>class B_Carryall_oucamo</v>
      </c>
      <c r="D30" s="27" t="str">
        <f>if(ISBLANK(A30),,if('RHS INPUT'!D30=1,CONCATENATE("{quality = ",'RHS INPUT'!G30,"; price = ",Round('RHS INPUT'!M30),";};"),""))</f>
        <v>{quality = 3; price = 960;};</v>
      </c>
      <c r="E30" t="str">
        <f>IFERROR(__xludf.DUMMYFUNCTION("if(ISBLANK(A30),, if('RHS INPUT'!E30=1,CONCATENATE(CHAR(34),To_Text('RHS INPUT'!C30),CHAR(34),CHAR(44)),""""))"),"""B_Carryall_oucamo"",")</f>
        <v>"B_Carryall_oucamo",</v>
      </c>
      <c r="F30" s="28" t="str">
        <f>IF(isblank(A30) ,Concatenate("&gt; ",'RHS INPUT'!A30) , if('RHS INPUT'!F30=1,CONCATENATE(round('RHS INPUT'!N30),Char(44)," ",'RHS INPUT'!C30),""))</f>
        <v>9, B_Carryall_oucamo</v>
      </c>
    </row>
    <row r="31" ht="12.0" customHeight="1">
      <c r="A31" s="1" t="str">
        <f>IFERROR(__xludf.DUMMYFUNCTION("if(ISBLANK('RHS INPUT'!C31),,CONCATENATE(CHAR(34),To_Text('RHS INPUT'!C31),CHAR(34),CHAR(44)))"),"""B_Bergen_blk"",")</f>
        <v>"B_Bergen_blk",</v>
      </c>
      <c r="B31" s="18" t="str">
        <f>if(isblank('RHS INPUT'!A31),,CONCATENATE("/*  ",'RHS INPUT'!A31,"  */"))</f>
        <v/>
      </c>
      <c r="C31" s="22" t="str">
        <f>if(isblank(A31),,if('RHS INPUT'!D31=1,Concatenate("class ",'RHS INPUT'!C31),))</f>
        <v>class B_Bergen_blk</v>
      </c>
      <c r="D31" s="27" t="str">
        <f>if(ISBLANK(A31),,if('RHS INPUT'!D31=1,CONCATENATE("{quality = ",'RHS INPUT'!G31,"; price = ",Round('RHS INPUT'!M31),";};"),""))</f>
        <v>{quality = 3; price = 840;};</v>
      </c>
      <c r="E31" t="str">
        <f>IFERROR(__xludf.DUMMYFUNCTION("if(ISBLANK(A31),, if('RHS INPUT'!E31=1,CONCATENATE(CHAR(34),To_Text('RHS INPUT'!C31),CHAR(34),CHAR(44)),""""))"),"""B_Bergen_blk"",")</f>
        <v>"B_Bergen_blk",</v>
      </c>
      <c r="F31" s="28" t="str">
        <f>IF(isblank(A31) ,Concatenate("&gt; ",'RHS INPUT'!A31) , if('RHS INPUT'!F31=1,CONCATENATE(round('RHS INPUT'!N31),Char(44)," ",'RHS INPUT'!C31),""))</f>
        <v>11, B_Bergen_blk</v>
      </c>
    </row>
    <row r="32" ht="12.0" customHeight="1">
      <c r="A32" s="1" t="str">
        <f>IFERROR(__xludf.DUMMYFUNCTION("if(ISBLANK('RHS INPUT'!C32),,CONCATENATE(CHAR(34),To_Text('RHS INPUT'!C32),CHAR(34),CHAR(44)))"),"""B_Bergen_mcamo"",")</f>
        <v>"B_Bergen_mcamo",</v>
      </c>
      <c r="B32" s="18" t="str">
        <f>if(isblank('RHS INPUT'!A32),,CONCATENATE("/*  ",'RHS INPUT'!A32,"  */"))</f>
        <v/>
      </c>
      <c r="C32" s="22" t="str">
        <f>if(isblank(A32),,if('RHS INPUT'!D32=1,Concatenate("class ",'RHS INPUT'!C32),))</f>
        <v>class B_Bergen_mcamo</v>
      </c>
      <c r="D32" s="27" t="str">
        <f>if(ISBLANK(A32),,if('RHS INPUT'!D32=1,CONCATENATE("{quality = ",'RHS INPUT'!G32,"; price = ",Round('RHS INPUT'!M32),";};"),""))</f>
        <v>{quality = 3; price = 840;};</v>
      </c>
      <c r="E32" t="str">
        <f>IFERROR(__xludf.DUMMYFUNCTION("if(ISBLANK(A32),, if('RHS INPUT'!E32=1,CONCATENATE(CHAR(34),To_Text('RHS INPUT'!C32),CHAR(34),CHAR(44)),""""))"),"""B_Bergen_mcamo"",")</f>
        <v>"B_Bergen_mcamo",</v>
      </c>
      <c r="F32" s="28" t="str">
        <f>IF(isblank(A32) ,Concatenate("&gt; ",'RHS INPUT'!A32) , if('RHS INPUT'!F32=1,CONCATENATE(round('RHS INPUT'!N32),Char(44)," ",'RHS INPUT'!C32),""))</f>
        <v>11, B_Bergen_mcamo</v>
      </c>
    </row>
    <row r="33" ht="12.0" customHeight="1">
      <c r="A33" s="1" t="str">
        <f>IFERROR(__xludf.DUMMYFUNCTION("if(ISBLANK('RHS INPUT'!C33),,CONCATENATE(CHAR(34),To_Text('RHS INPUT'!C33),CHAR(34),CHAR(44)))"),"""B_Bergen_rgr"",")</f>
        <v>"B_Bergen_rgr",</v>
      </c>
      <c r="B33" s="18" t="str">
        <f>if(isblank('RHS INPUT'!A33),,CONCATENATE("/*  ",'RHS INPUT'!A33,"  */"))</f>
        <v/>
      </c>
      <c r="C33" s="22" t="str">
        <f>if(isblank(A33),,if('RHS INPUT'!D33=1,Concatenate("class ",'RHS INPUT'!C33),))</f>
        <v>class B_Bergen_rgr</v>
      </c>
      <c r="D33" s="27" t="str">
        <f>if(ISBLANK(A33),,if('RHS INPUT'!D33=1,CONCATENATE("{quality = ",'RHS INPUT'!G33,"; price = ",Round('RHS INPUT'!M33),";};"),""))</f>
        <v>{quality = 3; price = 840;};</v>
      </c>
      <c r="E33" t="str">
        <f>IFERROR(__xludf.DUMMYFUNCTION("if(ISBLANK(A33),, if('RHS INPUT'!E33=1,CONCATENATE(CHAR(34),To_Text('RHS INPUT'!C33),CHAR(34),CHAR(44)),""""))"),"""B_Bergen_rgr"",")</f>
        <v>"B_Bergen_rgr",</v>
      </c>
      <c r="F33" s="28" t="str">
        <f>IF(isblank(A33) ,Concatenate("&gt; ",'RHS INPUT'!A33) , if('RHS INPUT'!F33=1,CONCATENATE(round('RHS INPUT'!N33),Char(44)," ",'RHS INPUT'!C33),""))</f>
        <v>11, B_Bergen_rgr</v>
      </c>
    </row>
    <row r="34" ht="12.0" customHeight="1">
      <c r="A34" s="1" t="str">
        <f>IFERROR(__xludf.DUMMYFUNCTION("if(ISBLANK('RHS INPUT'!C34),,CONCATENATE(CHAR(34),To_Text('RHS INPUT'!C34),CHAR(34),CHAR(44)))"),"""B_Bergen_sgg"",")</f>
        <v>"B_Bergen_sgg",</v>
      </c>
      <c r="B34" s="18" t="str">
        <f>if(isblank('RHS INPUT'!A34),,CONCATENATE("/*  ",'RHS INPUT'!A34,"  */"))</f>
        <v/>
      </c>
      <c r="C34" s="22" t="str">
        <f>if(isblank(A34),,if('RHS INPUT'!D34=1,Concatenate("class ",'RHS INPUT'!C34),))</f>
        <v>class B_Bergen_sgg</v>
      </c>
      <c r="D34" s="27" t="str">
        <f>if(ISBLANK(A34),,if('RHS INPUT'!D34=1,CONCATENATE("{quality = ",'RHS INPUT'!G34,"; price = ",Round('RHS INPUT'!M34),";};"),""))</f>
        <v>{quality = 3; price = 840;};</v>
      </c>
      <c r="E34" t="str">
        <f>IFERROR(__xludf.DUMMYFUNCTION("if(ISBLANK(A34),, if('RHS INPUT'!E34=1,CONCATENATE(CHAR(34),To_Text('RHS INPUT'!C34),CHAR(34),CHAR(44)),""""))"),"""B_Bergen_sgg"",")</f>
        <v>"B_Bergen_sgg",</v>
      </c>
      <c r="F34" s="28" t="str">
        <f>IF(isblank(A34) ,Concatenate("&gt; ",'RHS INPUT'!A34) , if('RHS INPUT'!F34=1,CONCATENATE(round('RHS INPUT'!N34),Char(44)," ",'RHS INPUT'!C34),""))</f>
        <v>11, B_Bergen_sgg</v>
      </c>
    </row>
    <row r="35" ht="12.0" customHeight="1">
      <c r="A35" s="1" t="str">
        <f>IFERROR(__xludf.DUMMYFUNCTION("if(ISBLANK('RHS INPUT'!C35),,CONCATENATE(CHAR(34),To_Text('RHS INPUT'!C35),CHAR(34),CHAR(44)))"),"""B_HuntingBackpack"",")</f>
        <v>"B_HuntingBackpack",</v>
      </c>
      <c r="B35" s="18" t="str">
        <f>if(isblank('RHS INPUT'!A35),,CONCATENATE("/*  ",'RHS INPUT'!A35,"  */"))</f>
        <v/>
      </c>
      <c r="C35" s="22" t="str">
        <f>if(isblank(A35),,if('RHS INPUT'!D35=1,Concatenate("class ",'RHS INPUT'!C35),))</f>
        <v>class B_HuntingBackpack</v>
      </c>
      <c r="D35" s="27" t="str">
        <f>if(ISBLANK(A35),,if('RHS INPUT'!D35=1,CONCATENATE("{quality = ",'RHS INPUT'!G35,"; price = ",Round('RHS INPUT'!M35),";};"),""))</f>
        <v>{quality = 1; price = 120;};</v>
      </c>
      <c r="E35" t="str">
        <f>IFERROR(__xludf.DUMMYFUNCTION("if(ISBLANK(A35),, if('RHS INPUT'!E35=1,CONCATENATE(CHAR(34),To_Text('RHS INPUT'!C35),CHAR(34),CHAR(44)),""""))"),"""B_HuntingBackpack"",")</f>
        <v>"B_HuntingBackpack",</v>
      </c>
      <c r="F35" s="28" t="str">
        <f>IF(isblank(A35) ,Concatenate("&gt; ",'RHS INPUT'!A35) , if('RHS INPUT'!F35=1,CONCATENATE(round('RHS INPUT'!N35),Char(44)," ",'RHS INPUT'!C35),""))</f>
        <v>45, B_HuntingBackpack</v>
      </c>
    </row>
    <row r="36" ht="12.0" customHeight="1">
      <c r="A36" s="1" t="str">
        <f>IFERROR(__xludf.DUMMYFUNCTION("if(ISBLANK('RHS INPUT'!C36),,CONCATENATE(CHAR(34),To_Text('RHS INPUT'!C36),CHAR(34),CHAR(44)))"),"""B_OutdoorPack_blk"",")</f>
        <v>"B_OutdoorPack_blk",</v>
      </c>
      <c r="B36" s="18" t="str">
        <f>if(isblank('RHS INPUT'!A36),,CONCATENATE("/*  ",'RHS INPUT'!A36,"  */"))</f>
        <v/>
      </c>
      <c r="C36" s="22" t="str">
        <f>if(isblank(A36),,if('RHS INPUT'!D36=1,Concatenate("class ",'RHS INPUT'!C36),))</f>
        <v>class B_OutdoorPack_blk</v>
      </c>
      <c r="D36" s="27" t="str">
        <f>if(ISBLANK(A36),,if('RHS INPUT'!D36=1,CONCATENATE("{quality = ",'RHS INPUT'!G36,"; price = ",Round('RHS INPUT'!M36),";};"),""))</f>
        <v>{quality = 1; price = 120;};</v>
      </c>
      <c r="E36" t="str">
        <f>IFERROR(__xludf.DUMMYFUNCTION("if(ISBLANK(A36),, if('RHS INPUT'!E36=1,CONCATENATE(CHAR(34),To_Text('RHS INPUT'!C36),CHAR(34),CHAR(44)),""""))"),"""B_OutdoorPack_blk"",")</f>
        <v>"B_OutdoorPack_blk",</v>
      </c>
      <c r="F36" s="28" t="str">
        <f>IF(isblank(A36) ,Concatenate("&gt; ",'RHS INPUT'!A36) , if('RHS INPUT'!F36=1,CONCATENATE(round('RHS INPUT'!N36),Char(44)," ",'RHS INPUT'!C36),""))</f>
        <v>45, B_OutdoorPack_blk</v>
      </c>
    </row>
    <row r="37" ht="12.0" customHeight="1">
      <c r="A37" s="1" t="str">
        <f>IFERROR(__xludf.DUMMYFUNCTION("if(ISBLANK('RHS INPUT'!C37),,CONCATENATE(CHAR(34),To_Text('RHS INPUT'!C37),CHAR(34),CHAR(44)))"),"""B_OutdoorPack_blu"",")</f>
        <v>"B_OutdoorPack_blu",</v>
      </c>
      <c r="B37" s="18" t="str">
        <f>if(isblank('RHS INPUT'!A37),,CONCATENATE("/*  ",'RHS INPUT'!A37,"  */"))</f>
        <v/>
      </c>
      <c r="C37" s="22" t="str">
        <f>if(isblank(A37),,if('RHS INPUT'!D37=1,Concatenate("class ",'RHS INPUT'!C37),))</f>
        <v>class B_OutdoorPack_blu</v>
      </c>
      <c r="D37" s="27" t="str">
        <f>if(ISBLANK(A37),,if('RHS INPUT'!D37=1,CONCATENATE("{quality = ",'RHS INPUT'!G37,"; price = ",Round('RHS INPUT'!M37),";};"),""))</f>
        <v>{quality = 1; price = 120;};</v>
      </c>
      <c r="E37" t="str">
        <f>IFERROR(__xludf.DUMMYFUNCTION("if(ISBLANK(A37),, if('RHS INPUT'!E37=1,CONCATENATE(CHAR(34),To_Text('RHS INPUT'!C37),CHAR(34),CHAR(44)),""""))"),"""B_OutdoorPack_blu"",")</f>
        <v>"B_OutdoorPack_blu",</v>
      </c>
      <c r="F37" s="28" t="str">
        <f>IF(isblank(A37) ,Concatenate("&gt; ",'RHS INPUT'!A37) , if('RHS INPUT'!F37=1,CONCATENATE(round('RHS INPUT'!N37),Char(44)," ",'RHS INPUT'!C37),""))</f>
        <v>45, B_OutdoorPack_blu</v>
      </c>
    </row>
    <row r="38" ht="12.0" customHeight="1">
      <c r="A38" s="1" t="str">
        <f>IFERROR(__xludf.DUMMYFUNCTION("if(ISBLANK('RHS INPUT'!C38),,CONCATENATE(CHAR(34),To_Text('RHS INPUT'!C38),CHAR(34),CHAR(44)))"),"""B_OutdoorPack_tan"",")</f>
        <v>"B_OutdoorPack_tan",</v>
      </c>
      <c r="B38" s="18" t="str">
        <f>if(isblank('RHS INPUT'!A38),,CONCATENATE("/*  ",'RHS INPUT'!A38,"  */"))</f>
        <v/>
      </c>
      <c r="C38" s="22" t="str">
        <f>if(isblank(A38),,if('RHS INPUT'!D38=1,Concatenate("class ",'RHS INPUT'!C38),))</f>
        <v>class B_OutdoorPack_tan</v>
      </c>
      <c r="D38" s="27" t="str">
        <f>if(ISBLANK(A38),,if('RHS INPUT'!D38=1,CONCATENATE("{quality = ",'RHS INPUT'!G38,"; price = ",Round('RHS INPUT'!M38),";};"),""))</f>
        <v>{quality = 1; price = 120;};</v>
      </c>
      <c r="E38" t="str">
        <f>IFERROR(__xludf.DUMMYFUNCTION("if(ISBLANK(A38),, if('RHS INPUT'!E38=1,CONCATENATE(CHAR(34),To_Text('RHS INPUT'!C38),CHAR(34),CHAR(44)),""""))"),"""B_OutdoorPack_tan"",")</f>
        <v>"B_OutdoorPack_tan",</v>
      </c>
      <c r="F38" s="28" t="str">
        <f>IF(isblank(A38) ,Concatenate("&gt; ",'RHS INPUT'!A38) , if('RHS INPUT'!F38=1,CONCATENATE(round('RHS INPUT'!N38),Char(44)," ",'RHS INPUT'!C38),""))</f>
        <v>45, B_OutdoorPack_tan</v>
      </c>
    </row>
    <row r="39" ht="12.0" customHeight="1">
      <c r="A39" s="1" t="str">
        <f>IFERROR(__xludf.DUMMYFUNCTION("if(ISBLANK('RHS INPUT'!C39),,CONCATENATE(CHAR(34),To_Text('RHS INPUT'!C39),CHAR(34),CHAR(44)))"),"""B_Parachute"",")</f>
        <v>"B_Parachute",</v>
      </c>
      <c r="B39" s="18" t="str">
        <f>if(isblank('RHS INPUT'!A39),,CONCATENATE("/*  ",'RHS INPUT'!A39,"  */"))</f>
        <v/>
      </c>
      <c r="C39" s="22" t="str">
        <f>if(isblank(A39),,if('RHS INPUT'!D39=1,Concatenate("class ",'RHS INPUT'!C39),))</f>
        <v>class B_Parachute</v>
      </c>
      <c r="D39" s="27" t="str">
        <f>if(ISBLANK(A39),,if('RHS INPUT'!D39=1,CONCATENATE("{quality = ",'RHS INPUT'!G39,"; price = ",Round('RHS INPUT'!M39),";};"),""))</f>
        <v>{quality = 3; price = 1500;};</v>
      </c>
      <c r="E39" t="str">
        <f>IFERROR(__xludf.DUMMYFUNCTION("if(ISBLANK(A39),, if('RHS INPUT'!E39=1,CONCATENATE(CHAR(34),To_Text('RHS INPUT'!C39),CHAR(34),CHAR(44)),""""))"),"""B_Parachute"",")</f>
        <v>"B_Parachute",</v>
      </c>
      <c r="F39" s="28" t="str">
        <f>IF(isblank(A39) ,Concatenate("&gt; ",'RHS INPUT'!A39) , if('RHS INPUT'!F39=1,CONCATENATE(round('RHS INPUT'!N39),Char(44)," ",'RHS INPUT'!C39),""))</f>
        <v>6, B_Parachute</v>
      </c>
    </row>
    <row r="40" ht="12.0" customHeight="1">
      <c r="A40" s="1" t="str">
        <f>IFERROR(__xludf.DUMMYFUNCTION("if(ISBLANK('RHS INPUT'!C40),,CONCATENATE(CHAR(34),To_Text('RHS INPUT'!C40),CHAR(34),CHAR(44)))"),"""V_RebreatherB"",")</f>
        <v>"V_RebreatherB",</v>
      </c>
      <c r="B40" s="18" t="str">
        <f>if(isblank('RHS INPUT'!A40),,CONCATENATE("/*  ",'RHS INPUT'!A40,"  */"))</f>
        <v/>
      </c>
      <c r="C40" s="22" t="str">
        <f>if(isblank(A40),,if('RHS INPUT'!D40=1,Concatenate("class ",'RHS INPUT'!C40),))</f>
        <v>class V_RebreatherB</v>
      </c>
      <c r="D40" s="27" t="str">
        <f>if(ISBLANK(A40),,if('RHS INPUT'!D40=1,CONCATENATE("{quality = ",'RHS INPUT'!G40,"; price = ",Round('RHS INPUT'!M40),";};"),""))</f>
        <v>{quality = 3; price = 1500;};</v>
      </c>
      <c r="E40" t="str">
        <f>IFERROR(__xludf.DUMMYFUNCTION("if(ISBLANK(A40),, if('RHS INPUT'!E40=1,CONCATENATE(CHAR(34),To_Text('RHS INPUT'!C40),CHAR(34),CHAR(44)),""""))"),"""V_RebreatherB"",")</f>
        <v>"V_RebreatherB",</v>
      </c>
      <c r="F40" s="28" t="str">
        <f>IF(isblank(A40) ,Concatenate("&gt; ",'RHS INPUT'!A40) , if('RHS INPUT'!F40=1,CONCATENATE(round('RHS INPUT'!N40),Char(44)," ",'RHS INPUT'!C40),""))</f>
        <v>6, V_RebreatherB</v>
      </c>
    </row>
    <row r="41" ht="12.0" customHeight="1">
      <c r="A41" s="1" t="str">
        <f>IFERROR(__xludf.DUMMYFUNCTION("if(ISBLANK('RHS INPUT'!C41),,CONCATENATE(CHAR(34),To_Text('RHS INPUT'!C41),CHAR(34),CHAR(44)))"),"""V_RebreatherIA"",")</f>
        <v>"V_RebreatherIA",</v>
      </c>
      <c r="B41" s="18" t="str">
        <f>if(isblank('RHS INPUT'!A41),,CONCATENATE("/*  ",'RHS INPUT'!A41,"  */"))</f>
        <v/>
      </c>
      <c r="C41" s="22" t="str">
        <f>if(isblank(A41),,if('RHS INPUT'!D41=1,Concatenate("class ",'RHS INPUT'!C41),))</f>
        <v>class V_RebreatherIA</v>
      </c>
      <c r="D41" s="27" t="str">
        <f>if(ISBLANK(A41),,if('RHS INPUT'!D41=1,CONCATENATE("{quality = ",'RHS INPUT'!G41,"; price = ",Round('RHS INPUT'!M41),";};"),""))</f>
        <v>{quality = 3; price = 1500;};</v>
      </c>
      <c r="E41" t="str">
        <f>IFERROR(__xludf.DUMMYFUNCTION("if(ISBLANK(A41),, if('RHS INPUT'!E41=1,CONCATENATE(CHAR(34),To_Text('RHS INPUT'!C41),CHAR(34),CHAR(44)),""""))"),"""V_RebreatherIA"",")</f>
        <v>"V_RebreatherIA",</v>
      </c>
      <c r="F41" s="28" t="str">
        <f>IF(isblank(A41) ,Concatenate("&gt; ",'RHS INPUT'!A41) , if('RHS INPUT'!F41=1,CONCATENATE(round('RHS INPUT'!N41),Char(44)," ",'RHS INPUT'!C41),""))</f>
        <v>6, V_RebreatherIA</v>
      </c>
    </row>
    <row r="42" ht="12.0" customHeight="1">
      <c r="A42" s="1" t="str">
        <f>IFERROR(__xludf.DUMMYFUNCTION("if(ISBLANK('RHS INPUT'!C42),,CONCATENATE(CHAR(34),To_Text('RHS INPUT'!C42),CHAR(34),CHAR(44)))"),"""V_RebreatherIR"",")</f>
        <v>"V_RebreatherIR",</v>
      </c>
      <c r="B42" s="18" t="str">
        <f>if(isblank('RHS INPUT'!A42),,CONCATENATE("/*  ",'RHS INPUT'!A42,"  */"))</f>
        <v/>
      </c>
      <c r="C42" s="22" t="str">
        <f>if(isblank(A42),,if('RHS INPUT'!D42=1,Concatenate("class ",'RHS INPUT'!C42),))</f>
        <v>class V_RebreatherIR</v>
      </c>
      <c r="D42" s="27" t="str">
        <f>if(ISBLANK(A42),,if('RHS INPUT'!D42=1,CONCATENATE("{quality = ",'RHS INPUT'!G42,"; price = ",Round('RHS INPUT'!M42),";};"),""))</f>
        <v>{quality = 3; price = 1500;};</v>
      </c>
      <c r="E42" t="str">
        <f>IFERROR(__xludf.DUMMYFUNCTION("if(ISBLANK(A42),, if('RHS INPUT'!E42=1,CONCATENATE(CHAR(34),To_Text('RHS INPUT'!C42),CHAR(34),CHAR(44)),""""))"),"""V_RebreatherIR"",")</f>
        <v>"V_RebreatherIR",</v>
      </c>
      <c r="F42" s="28" t="str">
        <f>IF(isblank(A42) ,Concatenate("&gt; ",'RHS INPUT'!A42) , if('RHS INPUT'!F42=1,CONCATENATE(round('RHS INPUT'!N42),Char(44)," ",'RHS INPUT'!C42),""))</f>
        <v>6, V_RebreatherIR</v>
      </c>
    </row>
    <row r="43" ht="12.0" customHeight="1">
      <c r="A43" s="1" t="str">
        <f>IFERROR(__xludf.DUMMYFUNCTION("if(ISBLANK('RHS INPUT'!C43),,CONCATENATE(CHAR(34),To_Text('RHS INPUT'!C43),CHAR(34),CHAR(44)))"),"")</f>
        <v/>
      </c>
      <c r="B43" s="18" t="str">
        <f>if(isblank('RHS INPUT'!A43),,CONCATENATE("/*  ",'RHS INPUT'!A43,"  */"))</f>
        <v>/*  VESTS  */</v>
      </c>
      <c r="C43" s="22" t="str">
        <f>if(isblank(A43),,if('RHS INPUT'!D43=1,Concatenate("class ",'RHS INPUT'!C43),))</f>
        <v/>
      </c>
      <c r="D43" s="27" t="str">
        <f>if(ISBLANK(A43),,if('RHS INPUT'!D43=1,CONCATENATE("{quality = ",'RHS INPUT'!G43,"; price = ",Round('RHS INPUT'!M43),";};"),""))</f>
        <v/>
      </c>
      <c r="E43" t="str">
        <f>IFERROR(__xludf.DUMMYFUNCTION("if(ISBLANK(A43),, if('RHS INPUT'!E43=1,CONCATENATE(CHAR(34),To_Text('RHS INPUT'!C43),CHAR(34),CHAR(44)),""""))"),"")</f>
        <v/>
      </c>
      <c r="F43" s="28" t="str">
        <f>IF(isblank(A43) ,Concatenate("&gt; ",'RHS INPUT'!A43) , if('RHS INPUT'!F43=1,CONCATENATE(round('RHS INPUT'!N43),Char(44)," ",'RHS INPUT'!C43),""))</f>
        <v>&gt; VESTS</v>
      </c>
    </row>
    <row r="44" ht="12.0" customHeight="1">
      <c r="A44" s="1" t="str">
        <f>IFERROR(__xludf.DUMMYFUNCTION("if(ISBLANK('RHS INPUT'!C44),,CONCATENATE(CHAR(34),To_Text('RHS INPUT'!C44),CHAR(34),CHAR(44)))"),"""V_Rangemaster_belt"",")</f>
        <v>"V_Rangemaster_belt",</v>
      </c>
      <c r="B44" s="18" t="str">
        <f>if(isblank('RHS INPUT'!A44),,CONCATENATE("/*  ",'RHS INPUT'!A44,"  */"))</f>
        <v/>
      </c>
      <c r="C44" s="22" t="str">
        <f>if(isblank(A44),,if('RHS INPUT'!D44=1,Concatenate("class ",'RHS INPUT'!C44),))</f>
        <v>class V_Rangemaster_belt</v>
      </c>
      <c r="D44" s="27" t="str">
        <f>if(ISBLANK(A44),,if('RHS INPUT'!D44=1,CONCATENATE("{quality = ",'RHS INPUT'!G44,"; price = ",Round('RHS INPUT'!M44),";};"),""))</f>
        <v>{quality = 1; price = 40;};</v>
      </c>
      <c r="E44" t="str">
        <f>IFERROR(__xludf.DUMMYFUNCTION("if(ISBLANK(A44),, if('RHS INPUT'!E44=1,CONCATENATE(CHAR(34),To_Text('RHS INPUT'!C44),CHAR(34),CHAR(44)),""""))"),"""V_Rangemaster_belt"",")</f>
        <v>"V_Rangemaster_belt",</v>
      </c>
      <c r="F44" s="28" t="str">
        <f>IF(isblank(A44) ,Concatenate("&gt; ",'RHS INPUT'!A44) , if('RHS INPUT'!F44=1,CONCATENATE(round('RHS INPUT'!N44),Char(44)," ",'RHS INPUT'!C44),""))</f>
        <v>71, V_Rangemaster_belt</v>
      </c>
    </row>
    <row r="45" ht="12.0" customHeight="1">
      <c r="A45" s="1" t="str">
        <f>IFERROR(__xludf.DUMMYFUNCTION("if(ISBLANK('RHS INPUT'!C45),,CONCATENATE(CHAR(34),To_Text('RHS INPUT'!C45),CHAR(34),CHAR(44)))"),"""V_BandollierB_blk"",")</f>
        <v>"V_BandollierB_blk",</v>
      </c>
      <c r="B45" s="18" t="str">
        <f>if(isblank('RHS INPUT'!A45),,CONCATENATE("/*  ",'RHS INPUT'!A45,"  */"))</f>
        <v/>
      </c>
      <c r="C45" s="22" t="str">
        <f>if(isblank(A45),,if('RHS INPUT'!D45=1,Concatenate("class ",'RHS INPUT'!C45),))</f>
        <v>class V_BandollierB_blk</v>
      </c>
      <c r="D45" s="27" t="str">
        <f>if(ISBLANK(A45),,if('RHS INPUT'!D45=1,CONCATENATE("{quality = ",'RHS INPUT'!G45,"; price = ",Round('RHS INPUT'!M45),";};"),""))</f>
        <v>{quality = 1; price = 80;};</v>
      </c>
      <c r="E45" t="str">
        <f>IFERROR(__xludf.DUMMYFUNCTION("if(ISBLANK(A45),, if('RHS INPUT'!E45=1,CONCATENATE(CHAR(34),To_Text('RHS INPUT'!C45),CHAR(34),CHAR(44)),""""))"),"""V_BandollierB_blk"",")</f>
        <v>"V_BandollierB_blk",</v>
      </c>
      <c r="F45" s="28" t="str">
        <f>IF(isblank(A45) ,Concatenate("&gt; ",'RHS INPUT'!A45) , if('RHS INPUT'!F45=1,CONCATENATE(round('RHS INPUT'!N45),Char(44)," ",'RHS INPUT'!C45),""))</f>
        <v>56, V_BandollierB_blk</v>
      </c>
    </row>
    <row r="46" ht="12.0" customHeight="1">
      <c r="A46" s="1" t="str">
        <f>IFERROR(__xludf.DUMMYFUNCTION("if(ISBLANK('RHS INPUT'!C46),,CONCATENATE(CHAR(34),To_Text('RHS INPUT'!C46),CHAR(34),CHAR(44)))"),"""V_BandollierB_cbr"",")</f>
        <v>"V_BandollierB_cbr",</v>
      </c>
      <c r="B46" s="18" t="str">
        <f>if(isblank('RHS INPUT'!A46),,CONCATENATE("/*  ",'RHS INPUT'!A46,"  */"))</f>
        <v/>
      </c>
      <c r="C46" s="22" t="str">
        <f>if(isblank(A46),,if('RHS INPUT'!D46=1,Concatenate("class ",'RHS INPUT'!C46),))</f>
        <v>class V_BandollierB_cbr</v>
      </c>
      <c r="D46" s="27" t="str">
        <f>if(ISBLANK(A46),,if('RHS INPUT'!D46=1,CONCATENATE("{quality = ",'RHS INPUT'!G46,"; price = ",Round('RHS INPUT'!M46),";};"),""))</f>
        <v>{quality = 1; price = 80;};</v>
      </c>
      <c r="E46" t="str">
        <f>IFERROR(__xludf.DUMMYFUNCTION("if(ISBLANK(A46),, if('RHS INPUT'!E46=1,CONCATENATE(CHAR(34),To_Text('RHS INPUT'!C46),CHAR(34),CHAR(44)),""""))"),"""V_BandollierB_cbr"",")</f>
        <v>"V_BandollierB_cbr",</v>
      </c>
      <c r="F46" s="28" t="str">
        <f>IF(isblank(A46) ,Concatenate("&gt; ",'RHS INPUT'!A46) , if('RHS INPUT'!F46=1,CONCATENATE(round('RHS INPUT'!N46),Char(44)," ",'RHS INPUT'!C46),""))</f>
        <v>56, V_BandollierB_cbr</v>
      </c>
    </row>
    <row r="47" ht="12.0" customHeight="1">
      <c r="A47" s="1" t="str">
        <f>IFERROR(__xludf.DUMMYFUNCTION("if(ISBLANK('RHS INPUT'!C47),,CONCATENATE(CHAR(34),To_Text('RHS INPUT'!C47),CHAR(34),CHAR(44)))"),"""V_BandollierB_khk"",")</f>
        <v>"V_BandollierB_khk",</v>
      </c>
      <c r="B47" s="18" t="str">
        <f>if(isblank('RHS INPUT'!A47),,CONCATENATE("/*  ",'RHS INPUT'!A47,"  */"))</f>
        <v/>
      </c>
      <c r="C47" s="22" t="str">
        <f>if(isblank(A47),,if('RHS INPUT'!D47=1,Concatenate("class ",'RHS INPUT'!C47),))</f>
        <v>class V_BandollierB_khk</v>
      </c>
      <c r="D47" s="27" t="str">
        <f>if(ISBLANK(A47),,if('RHS INPUT'!D47=1,CONCATENATE("{quality = ",'RHS INPUT'!G47,"; price = ",Round('RHS INPUT'!M47),";};"),""))</f>
        <v>{quality = 1; price = 80;};</v>
      </c>
      <c r="E47" t="str">
        <f>IFERROR(__xludf.DUMMYFUNCTION("if(ISBLANK(A47),, if('RHS INPUT'!E47=1,CONCATENATE(CHAR(34),To_Text('RHS INPUT'!C47),CHAR(34),CHAR(44)),""""))"),"""V_BandollierB_khk"",")</f>
        <v>"V_BandollierB_khk",</v>
      </c>
      <c r="F47" s="28" t="str">
        <f>IF(isblank(A47) ,Concatenate("&gt; ",'RHS INPUT'!A47) , if('RHS INPUT'!F47=1,CONCATENATE(round('RHS INPUT'!N47),Char(44)," ",'RHS INPUT'!C47),""))</f>
        <v>56, V_BandollierB_khk</v>
      </c>
    </row>
    <row r="48" ht="12.0" customHeight="1">
      <c r="A48" s="1" t="str">
        <f>IFERROR(__xludf.DUMMYFUNCTION("if(ISBLANK('RHS INPUT'!C48),,CONCATENATE(CHAR(34),To_Text('RHS INPUT'!C48),CHAR(34),CHAR(44)))"),"""V_BandollierB_oli"",")</f>
        <v>"V_BandollierB_oli",</v>
      </c>
      <c r="B48" s="18" t="str">
        <f>if(isblank('RHS INPUT'!A48),,CONCATENATE("/*  ",'RHS INPUT'!A48,"  */"))</f>
        <v/>
      </c>
      <c r="C48" s="22" t="str">
        <f>if(isblank(A48),,if('RHS INPUT'!D48=1,Concatenate("class ",'RHS INPUT'!C48),))</f>
        <v>class V_BandollierB_oli</v>
      </c>
      <c r="D48" s="27" t="str">
        <f>if(ISBLANK(A48),,if('RHS INPUT'!D48=1,CONCATENATE("{quality = ",'RHS INPUT'!G48,"; price = ",Round('RHS INPUT'!M48),";};"),""))</f>
        <v>{quality = 1; price = 80;};</v>
      </c>
      <c r="E48" t="str">
        <f>IFERROR(__xludf.DUMMYFUNCTION("if(ISBLANK(A48),, if('RHS INPUT'!E48=1,CONCATENATE(CHAR(34),To_Text('RHS INPUT'!C48),CHAR(34),CHAR(44)),""""))"),"""V_BandollierB_oli"",")</f>
        <v>"V_BandollierB_oli",</v>
      </c>
      <c r="F48" s="28" t="str">
        <f>IF(isblank(A48) ,Concatenate("&gt; ",'RHS INPUT'!A48) , if('RHS INPUT'!F48=1,CONCATENATE(round('RHS INPUT'!N48),Char(44)," ",'RHS INPUT'!C48),""))</f>
        <v>56, V_BandollierB_oli</v>
      </c>
    </row>
    <row r="49" ht="12.0" customHeight="1">
      <c r="A49" s="1" t="str">
        <f>IFERROR(__xludf.DUMMYFUNCTION("if(ISBLANK('RHS INPUT'!C49),,CONCATENATE(CHAR(34),To_Text('RHS INPUT'!C49),CHAR(34),CHAR(44)))"),"""V_BandollierB_rgr"",")</f>
        <v>"V_BandollierB_rgr",</v>
      </c>
      <c r="B49" s="18" t="str">
        <f>if(isblank('RHS INPUT'!A49),,CONCATENATE("/*  ",'RHS INPUT'!A49,"  */"))</f>
        <v/>
      </c>
      <c r="C49" s="22" t="str">
        <f>if(isblank(A49),,if('RHS INPUT'!D49=1,Concatenate("class ",'RHS INPUT'!C49),))</f>
        <v>class V_BandollierB_rgr</v>
      </c>
      <c r="D49" s="27" t="str">
        <f>if(ISBLANK(A49),,if('RHS INPUT'!D49=1,CONCATENATE("{quality = ",'RHS INPUT'!G49,"; price = ",Round('RHS INPUT'!M49),";};"),""))</f>
        <v>{quality = 1; price = 80;};</v>
      </c>
      <c r="E49" t="str">
        <f>IFERROR(__xludf.DUMMYFUNCTION("if(ISBLANK(A49),, if('RHS INPUT'!E49=1,CONCATENATE(CHAR(34),To_Text('RHS INPUT'!C49),CHAR(34),CHAR(44)),""""))"),"""V_BandollierB_rgr"",")</f>
        <v>"V_BandollierB_rgr",</v>
      </c>
      <c r="F49" s="28" t="str">
        <f>IF(isblank(A49) ,Concatenate("&gt; ",'RHS INPUT'!A49) , if('RHS INPUT'!F49=1,CONCATENATE(round('RHS INPUT'!N49),Char(44)," ",'RHS INPUT'!C49),""))</f>
        <v>56, V_BandollierB_rgr</v>
      </c>
    </row>
    <row r="50" ht="12.0" customHeight="1">
      <c r="A50" s="1" t="str">
        <f>IFERROR(__xludf.DUMMYFUNCTION("if(ISBLANK('RHS INPUT'!C50),,CONCATENATE(CHAR(34),To_Text('RHS INPUT'!C50),CHAR(34),CHAR(44)))"),"""V_Chestrig_blk"",")</f>
        <v>"V_Chestrig_blk",</v>
      </c>
      <c r="B50" s="18" t="str">
        <f>if(isblank('RHS INPUT'!A50),,CONCATENATE("/*  ",'RHS INPUT'!A50,"  */"))</f>
        <v/>
      </c>
      <c r="C50" s="22" t="str">
        <f>if(isblank(A50),,if('RHS INPUT'!D50=1,Concatenate("class ",'RHS INPUT'!C50),))</f>
        <v>class V_Chestrig_blk</v>
      </c>
      <c r="D50" s="27" t="str">
        <f>if(ISBLANK(A50),,if('RHS INPUT'!D50=1,CONCATENATE("{quality = ",'RHS INPUT'!G50,"; price = ",Round('RHS INPUT'!M50),";};"),""))</f>
        <v>{quality = 1; price = 140;};</v>
      </c>
      <c r="E50" t="str">
        <f>IFERROR(__xludf.DUMMYFUNCTION("if(ISBLANK(A50),, if('RHS INPUT'!E50=1,CONCATENATE(CHAR(34),To_Text('RHS INPUT'!C50),CHAR(34),CHAR(44)),""""))"),"""V_Chestrig_blk"",")</f>
        <v>"V_Chestrig_blk",</v>
      </c>
      <c r="F50" s="28" t="str">
        <f>IF(isblank(A50) ,Concatenate("&gt; ",'RHS INPUT'!A50) , if('RHS INPUT'!F50=1,CONCATENATE(round('RHS INPUT'!N50),Char(44)," ",'RHS INPUT'!C50),""))</f>
        <v>42, V_Chestrig_blk</v>
      </c>
    </row>
    <row r="51" ht="12.0" customHeight="1">
      <c r="A51" s="1" t="str">
        <f>IFERROR(__xludf.DUMMYFUNCTION("if(ISBLANK('RHS INPUT'!C51),,CONCATENATE(CHAR(34),To_Text('RHS INPUT'!C51),CHAR(34),CHAR(44)))"),"""V_Chestrig_khk"",")</f>
        <v>"V_Chestrig_khk",</v>
      </c>
      <c r="B51" s="18" t="str">
        <f>if(isblank('RHS INPUT'!A51),,CONCATENATE("/*  ",'RHS INPUT'!A51,"  */"))</f>
        <v/>
      </c>
      <c r="C51" s="22" t="str">
        <f>if(isblank(A51),,if('RHS INPUT'!D51=1,Concatenate("class ",'RHS INPUT'!C51),))</f>
        <v>class V_Chestrig_khk</v>
      </c>
      <c r="D51" s="27" t="str">
        <f>if(ISBLANK(A51),,if('RHS INPUT'!D51=1,CONCATENATE("{quality = ",'RHS INPUT'!G51,"; price = ",Round('RHS INPUT'!M51),";};"),""))</f>
        <v>{quality = 1; price = 140;};</v>
      </c>
      <c r="E51" t="str">
        <f>IFERROR(__xludf.DUMMYFUNCTION("if(ISBLANK(A51),, if('RHS INPUT'!E51=1,CONCATENATE(CHAR(34),To_Text('RHS INPUT'!C51),CHAR(34),CHAR(44)),""""))"),"""V_Chestrig_khk"",")</f>
        <v>"V_Chestrig_khk",</v>
      </c>
      <c r="F51" s="28" t="str">
        <f>IF(isblank(A51) ,Concatenate("&gt; ",'RHS INPUT'!A51) , if('RHS INPUT'!F51=1,CONCATENATE(round('RHS INPUT'!N51),Char(44)," ",'RHS INPUT'!C51),""))</f>
        <v>42, V_Chestrig_khk</v>
      </c>
    </row>
    <row r="52" ht="12.0" customHeight="1">
      <c r="A52" s="1" t="str">
        <f>IFERROR(__xludf.DUMMYFUNCTION("if(ISBLANK('RHS INPUT'!C52),,CONCATENATE(CHAR(34),To_Text('RHS INPUT'!C52),CHAR(34),CHAR(44)))"),"""V_Chestrig_oli"",")</f>
        <v>"V_Chestrig_oli",</v>
      </c>
      <c r="B52" s="18" t="str">
        <f>if(isblank('RHS INPUT'!A52),,CONCATENATE("/*  ",'RHS INPUT'!A52,"  */"))</f>
        <v/>
      </c>
      <c r="C52" s="22" t="str">
        <f>if(isblank(A52),,if('RHS INPUT'!D52=1,Concatenate("class ",'RHS INPUT'!C52),))</f>
        <v>class V_Chestrig_oli</v>
      </c>
      <c r="D52" s="27" t="str">
        <f>if(ISBLANK(A52),,if('RHS INPUT'!D52=1,CONCATENATE("{quality = ",'RHS INPUT'!G52,"; price = ",Round('RHS INPUT'!M52),";};"),""))</f>
        <v>{quality = 1; price = 140;};</v>
      </c>
      <c r="E52" t="str">
        <f>IFERROR(__xludf.DUMMYFUNCTION("if(ISBLANK(A52),, if('RHS INPUT'!E52=1,CONCATENATE(CHAR(34),To_Text('RHS INPUT'!C52),CHAR(34),CHAR(44)),""""))"),"""V_Chestrig_oli"",")</f>
        <v>"V_Chestrig_oli",</v>
      </c>
      <c r="F52" s="28" t="str">
        <f>IF(isblank(A52) ,Concatenate("&gt; ",'RHS INPUT'!A52) , if('RHS INPUT'!F52=1,CONCATENATE(round('RHS INPUT'!N52),Char(44)," ",'RHS INPUT'!C52),""))</f>
        <v>42, V_Chestrig_oli</v>
      </c>
    </row>
    <row r="53" ht="12.0" customHeight="1">
      <c r="A53" s="1" t="str">
        <f>IFERROR(__xludf.DUMMYFUNCTION("if(ISBLANK('RHS INPUT'!C53),,CONCATENATE(CHAR(34),To_Text('RHS INPUT'!C53),CHAR(34),CHAR(44)))"),"""V_Chestrig_rgr"",")</f>
        <v>"V_Chestrig_rgr",</v>
      </c>
      <c r="B53" s="18" t="str">
        <f>if(isblank('RHS INPUT'!A53),,CONCATENATE("/*  ",'RHS INPUT'!A53,"  */"))</f>
        <v/>
      </c>
      <c r="C53" s="22" t="str">
        <f>if(isblank(A53),,if('RHS INPUT'!D53=1,Concatenate("class ",'RHS INPUT'!C53),))</f>
        <v>class V_Chestrig_rgr</v>
      </c>
      <c r="D53" s="27" t="str">
        <f>if(ISBLANK(A53),,if('RHS INPUT'!D53=1,CONCATENATE("{quality = ",'RHS INPUT'!G53,"; price = ",Round('RHS INPUT'!M53),";};"),""))</f>
        <v>{quality = 1; price = 140;};</v>
      </c>
      <c r="E53" t="str">
        <f>IFERROR(__xludf.DUMMYFUNCTION("if(ISBLANK(A53),, if('RHS INPUT'!E53=1,CONCATENATE(CHAR(34),To_Text('RHS INPUT'!C53),CHAR(34),CHAR(44)),""""))"),"""V_Chestrig_rgr"",")</f>
        <v>"V_Chestrig_rgr",</v>
      </c>
      <c r="F53" s="28" t="str">
        <f>IF(isblank(A53) ,Concatenate("&gt; ",'RHS INPUT'!A53) , if('RHS INPUT'!F53=1,CONCATENATE(round('RHS INPUT'!N53),Char(44)," ",'RHS INPUT'!C53),""))</f>
        <v>42, V_Chestrig_rgr</v>
      </c>
    </row>
    <row r="54" ht="12.0" customHeight="1">
      <c r="A54" s="1" t="str">
        <f>IFERROR(__xludf.DUMMYFUNCTION("if(ISBLANK('RHS INPUT'!C54),,CONCATENATE(CHAR(34),To_Text('RHS INPUT'!C54),CHAR(34),CHAR(44)))"),"""V_HarnessO_brn"",")</f>
        <v>"V_HarnessO_brn",</v>
      </c>
      <c r="B54" s="18" t="str">
        <f>if(isblank('RHS INPUT'!A54),,CONCATENATE("/*  ",'RHS INPUT'!A54,"  */"))</f>
        <v/>
      </c>
      <c r="C54" s="22" t="str">
        <f>if(isblank(A54),,if('RHS INPUT'!D54=1,Concatenate("class ",'RHS INPUT'!C54),))</f>
        <v>class V_HarnessO_brn</v>
      </c>
      <c r="D54" s="27" t="str">
        <f>if(ISBLANK(A54),,if('RHS INPUT'!D54=1,CONCATENATE("{quality = ",'RHS INPUT'!G54,"; price = ",Round('RHS INPUT'!M54),";};"),""))</f>
        <v>{quality = 1; price = 160;};</v>
      </c>
      <c r="E54" t="str">
        <f>IFERROR(__xludf.DUMMYFUNCTION("if(ISBLANK(A54),, if('RHS INPUT'!E54=1,CONCATENATE(CHAR(34),To_Text('RHS INPUT'!C54),CHAR(34),CHAR(44)),""""))"),"""V_HarnessO_brn"",")</f>
        <v>"V_HarnessO_brn",</v>
      </c>
      <c r="F54" s="28" t="str">
        <f>IF(isblank(A54) ,Concatenate("&gt; ",'RHS INPUT'!A54) , if('RHS INPUT'!F54=1,CONCATENATE(round('RHS INPUT'!N54),Char(44)," ",'RHS INPUT'!C54),""))</f>
        <v>38, V_HarnessO_brn</v>
      </c>
    </row>
    <row r="55" ht="12.0" customHeight="1">
      <c r="A55" s="1" t="str">
        <f>IFERROR(__xludf.DUMMYFUNCTION("if(ISBLANK('RHS INPUT'!C55),,CONCATENATE(CHAR(34),To_Text('RHS INPUT'!C55),CHAR(34),CHAR(44)))"),"""V_HarnessO_gry"",")</f>
        <v>"V_HarnessO_gry",</v>
      </c>
      <c r="B55" s="18" t="str">
        <f>if(isblank('RHS INPUT'!A55),,CONCATENATE("/*  ",'RHS INPUT'!A55,"  */"))</f>
        <v/>
      </c>
      <c r="C55" s="22" t="str">
        <f>if(isblank(A55),,if('RHS INPUT'!D55=1,Concatenate("class ",'RHS INPUT'!C55),))</f>
        <v>class V_HarnessO_gry</v>
      </c>
      <c r="D55" s="27" t="str">
        <f>if(ISBLANK(A55),,if('RHS INPUT'!D55=1,CONCATENATE("{quality = ",'RHS INPUT'!G55,"; price = ",Round('RHS INPUT'!M55),";};"),""))</f>
        <v>{quality = 1; price = 160;};</v>
      </c>
      <c r="E55" t="str">
        <f>IFERROR(__xludf.DUMMYFUNCTION("if(ISBLANK(A55),, if('RHS INPUT'!E55=1,CONCATENATE(CHAR(34),To_Text('RHS INPUT'!C55),CHAR(34),CHAR(44)),""""))"),"""V_HarnessO_gry"",")</f>
        <v>"V_HarnessO_gry",</v>
      </c>
      <c r="F55" s="28" t="str">
        <f>IF(isblank(A55) ,Concatenate("&gt; ",'RHS INPUT'!A55) , if('RHS INPUT'!F55=1,CONCATENATE(round('RHS INPUT'!N55),Char(44)," ",'RHS INPUT'!C55),""))</f>
        <v>38, V_HarnessO_gry</v>
      </c>
    </row>
    <row r="56" ht="12.0" customHeight="1">
      <c r="A56" s="1" t="str">
        <f>IFERROR(__xludf.DUMMYFUNCTION("if(ISBLANK('RHS INPUT'!C56),,CONCATENATE(CHAR(34),To_Text('RHS INPUT'!C56),CHAR(34),CHAR(44)))"),"""V_HarnessOGL_brn"",")</f>
        <v>"V_HarnessOGL_brn",</v>
      </c>
      <c r="B56" s="18" t="str">
        <f>if(isblank('RHS INPUT'!A56),,CONCATENATE("/*  ",'RHS INPUT'!A56,"  */"))</f>
        <v/>
      </c>
      <c r="C56" s="22" t="str">
        <f>if(isblank(A56),,if('RHS INPUT'!D56=1,Concatenate("class ",'RHS INPUT'!C56),))</f>
        <v>class V_HarnessOGL_brn</v>
      </c>
      <c r="D56" s="27" t="str">
        <f>if(ISBLANK(A56),,if('RHS INPUT'!D56=1,CONCATENATE("{quality = ",'RHS INPUT'!G56,"; price = ",Round('RHS INPUT'!M56),";};"),""))</f>
        <v>{quality = 1; price = 120;};</v>
      </c>
      <c r="E56" t="str">
        <f>IFERROR(__xludf.DUMMYFUNCTION("if(ISBLANK(A56),, if('RHS INPUT'!E56=1,CONCATENATE(CHAR(34),To_Text('RHS INPUT'!C56),CHAR(34),CHAR(44)),""""))"),"""V_HarnessOGL_brn"",")</f>
        <v>"V_HarnessOGL_brn",</v>
      </c>
      <c r="F56" s="28" t="str">
        <f>IF(isblank(A56) ,Concatenate("&gt; ",'RHS INPUT'!A56) , if('RHS INPUT'!F56=1,CONCATENATE(round('RHS INPUT'!N56),Char(44)," ",'RHS INPUT'!C56),""))</f>
        <v>45, V_HarnessOGL_brn</v>
      </c>
    </row>
    <row r="57" ht="12.0" customHeight="1">
      <c r="A57" s="1" t="str">
        <f>IFERROR(__xludf.DUMMYFUNCTION("if(ISBLANK('RHS INPUT'!C57),,CONCATENATE(CHAR(34),To_Text('RHS INPUT'!C57),CHAR(34),CHAR(44)))"),"""V_HarnessOGL_gry"",")</f>
        <v>"V_HarnessOGL_gry",</v>
      </c>
      <c r="B57" s="18" t="str">
        <f>if(isblank('RHS INPUT'!A57),,CONCATENATE("/*  ",'RHS INPUT'!A57,"  */"))</f>
        <v/>
      </c>
      <c r="C57" s="22" t="str">
        <f>if(isblank(A57),,if('RHS INPUT'!D57=1,Concatenate("class ",'RHS INPUT'!C57),))</f>
        <v>class V_HarnessOGL_gry</v>
      </c>
      <c r="D57" s="27" t="str">
        <f>if(ISBLANK(A57),,if('RHS INPUT'!D57=1,CONCATENATE("{quality = ",'RHS INPUT'!G57,"; price = ",Round('RHS INPUT'!M57),";};"),""))</f>
        <v>{quality = 1; price = 120;};</v>
      </c>
      <c r="E57" t="str">
        <f>IFERROR(__xludf.DUMMYFUNCTION("if(ISBLANK(A57),, if('RHS INPUT'!E57=1,CONCATENATE(CHAR(34),To_Text('RHS INPUT'!C57),CHAR(34),CHAR(44)),""""))"),"""V_HarnessOGL_gry"",")</f>
        <v>"V_HarnessOGL_gry",</v>
      </c>
      <c r="F57" s="28" t="str">
        <f>IF(isblank(A57) ,Concatenate("&gt; ",'RHS INPUT'!A57) , if('RHS INPUT'!F57=1,CONCATENATE(round('RHS INPUT'!N57),Char(44)," ",'RHS INPUT'!C57),""))</f>
        <v>45, V_HarnessOGL_gry</v>
      </c>
    </row>
    <row r="58" ht="12.0" customHeight="1">
      <c r="A58" s="1" t="str">
        <f>IFERROR(__xludf.DUMMYFUNCTION("if(ISBLANK('RHS INPUT'!C58),,CONCATENATE(CHAR(34),To_Text('RHS INPUT'!C58),CHAR(34),CHAR(44)))"),"""V_HarnessOSpec_brn"",")</f>
        <v>"V_HarnessOSpec_brn",</v>
      </c>
      <c r="B58" s="18" t="str">
        <f>if(isblank('RHS INPUT'!A58),,CONCATENATE("/*  ",'RHS INPUT'!A58,"  */"))</f>
        <v/>
      </c>
      <c r="C58" s="22" t="str">
        <f>if(isblank(A58),,if('RHS INPUT'!D58=1,Concatenate("class ",'RHS INPUT'!C58),))</f>
        <v>class V_HarnessOSpec_brn</v>
      </c>
      <c r="D58" s="27" t="str">
        <f>if(ISBLANK(A58),,if('RHS INPUT'!D58=1,CONCATENATE("{quality = ",'RHS INPUT'!G58,"; price = ",Round('RHS INPUT'!M58),";};"),""))</f>
        <v>{quality = 1; price = 160;};</v>
      </c>
      <c r="E58" t="str">
        <f>IFERROR(__xludf.DUMMYFUNCTION("if(ISBLANK(A58),, if('RHS INPUT'!E58=1,CONCATENATE(CHAR(34),To_Text('RHS INPUT'!C58),CHAR(34),CHAR(44)),""""))"),"""V_HarnessOSpec_brn"",")</f>
        <v>"V_HarnessOSpec_brn",</v>
      </c>
      <c r="F58" s="28" t="str">
        <f>IF(isblank(A58) ,Concatenate("&gt; ",'RHS INPUT'!A58) , if('RHS INPUT'!F58=1,CONCATENATE(round('RHS INPUT'!N58),Char(44)," ",'RHS INPUT'!C58),""))</f>
        <v>38, V_HarnessOSpec_brn</v>
      </c>
    </row>
    <row r="59" ht="12.0" customHeight="1">
      <c r="A59" s="1" t="str">
        <f>IFERROR(__xludf.DUMMYFUNCTION("if(ISBLANK('RHS INPUT'!C59),,CONCATENATE(CHAR(34),To_Text('RHS INPUT'!C59),CHAR(34),CHAR(44)))"),"""V_HarnessOSpec_gry"",")</f>
        <v>"V_HarnessOSpec_gry",</v>
      </c>
      <c r="B59" s="18" t="str">
        <f>if(isblank('RHS INPUT'!A59),,CONCATENATE("/*  ",'RHS INPUT'!A59,"  */"))</f>
        <v/>
      </c>
      <c r="C59" s="22" t="str">
        <f>if(isblank(A59),,if('RHS INPUT'!D59=1,Concatenate("class ",'RHS INPUT'!C59),))</f>
        <v>class V_HarnessOSpec_gry</v>
      </c>
      <c r="D59" s="27" t="str">
        <f>if(ISBLANK(A59),,if('RHS INPUT'!D59=1,CONCATENATE("{quality = ",'RHS INPUT'!G59,"; price = ",Round('RHS INPUT'!M59),";};"),""))</f>
        <v>{quality = 1; price = 160;};</v>
      </c>
      <c r="E59" t="str">
        <f>IFERROR(__xludf.DUMMYFUNCTION("if(ISBLANK(A59),, if('RHS INPUT'!E59=1,CONCATENATE(CHAR(34),To_Text('RHS INPUT'!C59),CHAR(34),CHAR(44)),""""))"),"""V_HarnessOSpec_gry"",")</f>
        <v>"V_HarnessOSpec_gry",</v>
      </c>
      <c r="F59" s="28" t="str">
        <f>IF(isblank(A59) ,Concatenate("&gt; ",'RHS INPUT'!A59) , if('RHS INPUT'!F59=1,CONCATENATE(round('RHS INPUT'!N59),Char(44)," ",'RHS INPUT'!C59),""))</f>
        <v>38, V_HarnessOSpec_gry</v>
      </c>
    </row>
    <row r="60" ht="12.0" customHeight="1">
      <c r="A60" s="1" t="str">
        <f>IFERROR(__xludf.DUMMYFUNCTION("if(ISBLANK('RHS INPUT'!C60),,CONCATENATE(CHAR(34),To_Text('RHS INPUT'!C60),CHAR(34),CHAR(44)))"),"""V_Press_F"",")</f>
        <v>"V_Press_F",</v>
      </c>
      <c r="B60" s="18" t="str">
        <f>if(isblank('RHS INPUT'!A60),,CONCATENATE("/*  ",'RHS INPUT'!A60,"  */"))</f>
        <v/>
      </c>
      <c r="C60" s="22" t="str">
        <f>if(isblank(A60),,if('RHS INPUT'!D60=1,Concatenate("class ",'RHS INPUT'!C60),))</f>
        <v>class V_Press_F</v>
      </c>
      <c r="D60" s="27" t="str">
        <f>if(ISBLANK(A60),,if('RHS INPUT'!D60=1,CONCATENATE("{quality = ",'RHS INPUT'!G60,"; price = ",Round('RHS INPUT'!M60),";};"),""))</f>
        <v>{quality = 2; price = 176;};</v>
      </c>
      <c r="E60" t="str">
        <f>IFERROR(__xludf.DUMMYFUNCTION("if(ISBLANK(A60),, if('RHS INPUT'!E60=1,CONCATENATE(CHAR(34),To_Text('RHS INPUT'!C60),CHAR(34),CHAR(44)),""""))"),"""V_Press_F"",")</f>
        <v>"V_Press_F",</v>
      </c>
      <c r="F60" s="28" t="str">
        <f>IF(isblank(A60) ,Concatenate("&gt; ",'RHS INPUT'!A60) , if('RHS INPUT'!F60=1,CONCATENATE(round('RHS INPUT'!N60),Char(44)," ",'RHS INPUT'!C60),""))</f>
        <v>36, V_Press_F</v>
      </c>
    </row>
    <row r="61" ht="12.0" customHeight="1">
      <c r="A61" s="1" t="str">
        <f>IFERROR(__xludf.DUMMYFUNCTION("if(ISBLANK('RHS INPUT'!C61),,CONCATENATE(CHAR(34),To_Text('RHS INPUT'!C61),CHAR(34),CHAR(44)))"),"""V_TacVest_blk"",")</f>
        <v>"V_TacVest_blk",</v>
      </c>
      <c r="B61" s="18" t="str">
        <f>if(isblank('RHS INPUT'!A61),,CONCATENATE("/*  ",'RHS INPUT'!A61,"  */"))</f>
        <v/>
      </c>
      <c r="C61" s="22" t="str">
        <f>if(isblank(A61),,if('RHS INPUT'!D61=1,Concatenate("class ",'RHS INPUT'!C61),))</f>
        <v>class V_TacVest_blk</v>
      </c>
      <c r="D61" s="27" t="str">
        <f>if(ISBLANK(A61),,if('RHS INPUT'!D61=1,CONCATENATE("{quality = ",'RHS INPUT'!G61,"; price = ",Round('RHS INPUT'!M61),";};"),""))</f>
        <v>{quality = 2; price = 248;};</v>
      </c>
      <c r="E61" t="str">
        <f>IFERROR(__xludf.DUMMYFUNCTION("if(ISBLANK(A61),, if('RHS INPUT'!E61=1,CONCATENATE(CHAR(34),To_Text('RHS INPUT'!C61),CHAR(34),CHAR(44)),""""))"),"""V_TacVest_blk"",")</f>
        <v>"V_TacVest_blk",</v>
      </c>
      <c r="F61" s="28" t="str">
        <f>IF(isblank(A61) ,Concatenate("&gt; ",'RHS INPUT'!A61) , if('RHS INPUT'!F61=1,CONCATENATE(round('RHS INPUT'!N61),Char(44)," ",'RHS INPUT'!C61),""))</f>
        <v>29, V_TacVest_blk</v>
      </c>
    </row>
    <row r="62" ht="12.0" customHeight="1">
      <c r="A62" s="1" t="str">
        <f>IFERROR(__xludf.DUMMYFUNCTION("if(ISBLANK('RHS INPUT'!C62),,CONCATENATE(CHAR(34),To_Text('RHS INPUT'!C62),CHAR(34),CHAR(44)))"),"""V_TacVest_blk_POLICE"",")</f>
        <v>"V_TacVest_blk_POLICE",</v>
      </c>
      <c r="B62" s="18" t="str">
        <f>if(isblank('RHS INPUT'!A62),,CONCATENATE("/*  ",'RHS INPUT'!A62,"  */"))</f>
        <v/>
      </c>
      <c r="C62" s="22" t="str">
        <f>if(isblank(A62),,if('RHS INPUT'!D62=1,Concatenate("class ",'RHS INPUT'!C62),))</f>
        <v>class V_TacVest_blk_POLICE</v>
      </c>
      <c r="D62" s="27" t="str">
        <f>if(ISBLANK(A62),,if('RHS INPUT'!D62=1,CONCATENATE("{quality = ",'RHS INPUT'!G62,"; price = ",Round('RHS INPUT'!M62),";};"),""))</f>
        <v>{quality = 2; price = 272;};</v>
      </c>
      <c r="E62" t="str">
        <f>IFERROR(__xludf.DUMMYFUNCTION("if(ISBLANK(A62),, if('RHS INPUT'!E62=1,CONCATENATE(CHAR(34),To_Text('RHS INPUT'!C62),CHAR(34),CHAR(44)),""""))"),"""V_TacVest_blk_POLICE"",")</f>
        <v>"V_TacVest_blk_POLICE",</v>
      </c>
      <c r="F62" s="28" t="str">
        <f>IF(isblank(A62) ,Concatenate("&gt; ",'RHS INPUT'!A62) , if('RHS INPUT'!F62=1,CONCATENATE(round('RHS INPUT'!N62),Char(44)," ",'RHS INPUT'!C62),""))</f>
        <v>27, V_TacVest_blk_POLICE</v>
      </c>
    </row>
    <row r="63" ht="12.0" customHeight="1">
      <c r="A63" s="1" t="str">
        <f>IFERROR(__xludf.DUMMYFUNCTION("if(ISBLANK('RHS INPUT'!C63),,CONCATENATE(CHAR(34),To_Text('RHS INPUT'!C63),CHAR(34),CHAR(44)))"),"""V_TacVest_brn"",")</f>
        <v>"V_TacVest_brn",</v>
      </c>
      <c r="B63" s="18" t="str">
        <f>if(isblank('RHS INPUT'!A63),,CONCATENATE("/*  ",'RHS INPUT'!A63,"  */"))</f>
        <v/>
      </c>
      <c r="C63" s="22" t="str">
        <f>if(isblank(A63),,if('RHS INPUT'!D63=1,Concatenate("class ",'RHS INPUT'!C63),))</f>
        <v>class V_TacVest_brn</v>
      </c>
      <c r="D63" s="27" t="str">
        <f>if(ISBLANK(A63),,if('RHS INPUT'!D63=1,CONCATENATE("{quality = ",'RHS INPUT'!G63,"; price = ",Round('RHS INPUT'!M63),";};"),""))</f>
        <v>{quality = 2; price = 248;};</v>
      </c>
      <c r="E63" t="str">
        <f>IFERROR(__xludf.DUMMYFUNCTION("if(ISBLANK(A63),, if('RHS INPUT'!E63=1,CONCATENATE(CHAR(34),To_Text('RHS INPUT'!C63),CHAR(34),CHAR(44)),""""))"),"""V_TacVest_brn"",")</f>
        <v>"V_TacVest_brn",</v>
      </c>
      <c r="F63" s="28" t="str">
        <f>IF(isblank(A63) ,Concatenate("&gt; ",'RHS INPUT'!A63) , if('RHS INPUT'!F63=1,CONCATENATE(round('RHS INPUT'!N63),Char(44)," ",'RHS INPUT'!C63),""))</f>
        <v>29, V_TacVest_brn</v>
      </c>
    </row>
    <row r="64" ht="12.0" customHeight="1">
      <c r="A64" s="1" t="str">
        <f>IFERROR(__xludf.DUMMYFUNCTION("if(ISBLANK('RHS INPUT'!C64),,CONCATENATE(CHAR(34),To_Text('RHS INPUT'!C64),CHAR(34),CHAR(44)))"),"""V_TacVest_camo"",")</f>
        <v>"V_TacVest_camo",</v>
      </c>
      <c r="B64" s="18" t="str">
        <f>if(isblank('RHS INPUT'!A64),,CONCATENATE("/*  ",'RHS INPUT'!A64,"  */"))</f>
        <v/>
      </c>
      <c r="C64" s="22" t="str">
        <f>if(isblank(A64),,if('RHS INPUT'!D64=1,Concatenate("class ",'RHS INPUT'!C64),))</f>
        <v>class V_TacVest_camo</v>
      </c>
      <c r="D64" s="27" t="str">
        <f>if(ISBLANK(A64),,if('RHS INPUT'!D64=1,CONCATENATE("{quality = ",'RHS INPUT'!G64,"; price = ",Round('RHS INPUT'!M64),";};"),""))</f>
        <v>{quality = 2; price = 248;};</v>
      </c>
      <c r="E64" t="str">
        <f>IFERROR(__xludf.DUMMYFUNCTION("if(ISBLANK(A64),, if('RHS INPUT'!E64=1,CONCATENATE(CHAR(34),To_Text('RHS INPUT'!C64),CHAR(34),CHAR(44)),""""))"),"""V_TacVest_camo"",")</f>
        <v>"V_TacVest_camo",</v>
      </c>
      <c r="F64" s="28" t="str">
        <f>IF(isblank(A64) ,Concatenate("&gt; ",'RHS INPUT'!A64) , if('RHS INPUT'!F64=1,CONCATENATE(round('RHS INPUT'!N64),Char(44)," ",'RHS INPUT'!C64),""))</f>
        <v>29, V_TacVest_camo</v>
      </c>
    </row>
    <row r="65" ht="12.0" customHeight="1">
      <c r="A65" s="1" t="str">
        <f>IFERROR(__xludf.DUMMYFUNCTION("if(ISBLANK('RHS INPUT'!C65),,CONCATENATE(CHAR(34),To_Text('RHS INPUT'!C65),CHAR(34),CHAR(44)))"),"""V_TacVest_khk"",")</f>
        <v>"V_TacVest_khk",</v>
      </c>
      <c r="B65" s="18" t="str">
        <f>if(isblank('RHS INPUT'!A65),,CONCATENATE("/*  ",'RHS INPUT'!A65,"  */"))</f>
        <v/>
      </c>
      <c r="C65" s="22" t="str">
        <f>if(isblank(A65),,if('RHS INPUT'!D65=1,Concatenate("class ",'RHS INPUT'!C65),))</f>
        <v>class V_TacVest_khk</v>
      </c>
      <c r="D65" s="27" t="str">
        <f>if(ISBLANK(A65),,if('RHS INPUT'!D65=1,CONCATENATE("{quality = ",'RHS INPUT'!G65,"; price = ",Round('RHS INPUT'!M65),";};"),""))</f>
        <v>{quality = 2; price = 248;};</v>
      </c>
      <c r="E65" t="str">
        <f>IFERROR(__xludf.DUMMYFUNCTION("if(ISBLANK(A65),, if('RHS INPUT'!E65=1,CONCATENATE(CHAR(34),To_Text('RHS INPUT'!C65),CHAR(34),CHAR(44)),""""))"),"""V_TacVest_khk"",")</f>
        <v>"V_TacVest_khk",</v>
      </c>
      <c r="F65" s="28" t="str">
        <f>IF(isblank(A65) ,Concatenate("&gt; ",'RHS INPUT'!A65) , if('RHS INPUT'!F65=1,CONCATENATE(round('RHS INPUT'!N65),Char(44)," ",'RHS INPUT'!C65),""))</f>
        <v>29, V_TacVest_khk</v>
      </c>
    </row>
    <row r="66" ht="12.0" customHeight="1">
      <c r="A66" s="1" t="str">
        <f>IFERROR(__xludf.DUMMYFUNCTION("if(ISBLANK('RHS INPUT'!C66),,CONCATENATE(CHAR(34),To_Text('RHS INPUT'!C66),CHAR(34),CHAR(44)))"),"""V_TacVest_oli"",")</f>
        <v>"V_TacVest_oli",</v>
      </c>
      <c r="B66" s="18" t="str">
        <f>if(isblank('RHS INPUT'!A66),,CONCATENATE("/*  ",'RHS INPUT'!A66,"  */"))</f>
        <v/>
      </c>
      <c r="C66" s="22" t="str">
        <f>if(isblank(A66),,if('RHS INPUT'!D66=1,Concatenate("class ",'RHS INPUT'!C66),))</f>
        <v>class V_TacVest_oli</v>
      </c>
      <c r="D66" s="27" t="str">
        <f>if(ISBLANK(A66),,if('RHS INPUT'!D66=1,CONCATENATE("{quality = ",'RHS INPUT'!G66,"; price = ",Round('RHS INPUT'!M66),";};"),""))</f>
        <v>{quality = 2; price = 248;};</v>
      </c>
      <c r="E66" t="str">
        <f>IFERROR(__xludf.DUMMYFUNCTION("if(ISBLANK(A66),, if('RHS INPUT'!E66=1,CONCATENATE(CHAR(34),To_Text('RHS INPUT'!C66),CHAR(34),CHAR(44)),""""))"),"""V_TacVest_oli"",")</f>
        <v>"V_TacVest_oli",</v>
      </c>
      <c r="F66" s="28" t="str">
        <f>IF(isblank(A66) ,Concatenate("&gt; ",'RHS INPUT'!A66) , if('RHS INPUT'!F66=1,CONCATENATE(round('RHS INPUT'!N66),Char(44)," ",'RHS INPUT'!C66),""))</f>
        <v>29, V_TacVest_oli</v>
      </c>
    </row>
    <row r="67" ht="12.0" customHeight="1">
      <c r="A67" s="1" t="str">
        <f>IFERROR(__xludf.DUMMYFUNCTION("if(ISBLANK('RHS INPUT'!C67),,CONCATENATE(CHAR(34),To_Text('RHS INPUT'!C67),CHAR(34),CHAR(44)))"),"""V_TacVestCamo_khk"",")</f>
        <v>"V_TacVestCamo_khk",</v>
      </c>
      <c r="B67" s="18" t="str">
        <f>if(isblank('RHS INPUT'!A67),,CONCATENATE("/*  ",'RHS INPUT'!A67,"  */"))</f>
        <v/>
      </c>
      <c r="C67" s="22" t="str">
        <f>if(isblank(A67),,if('RHS INPUT'!D67=1,Concatenate("class ",'RHS INPUT'!C67),))</f>
        <v>class V_TacVestCamo_khk</v>
      </c>
      <c r="D67" s="27" t="str">
        <f>if(ISBLANK(A67),,if('RHS INPUT'!D67=1,CONCATENATE("{quality = ",'RHS INPUT'!G67,"; price = ",Round('RHS INPUT'!M67),";};"),""))</f>
        <v>{quality = 2; price = 248;};</v>
      </c>
      <c r="E67" t="str">
        <f>IFERROR(__xludf.DUMMYFUNCTION("if(ISBLANK(A67),, if('RHS INPUT'!E67=1,CONCATENATE(CHAR(34),To_Text('RHS INPUT'!C67),CHAR(34),CHAR(44)),""""))"),"""V_TacVestCamo_khk"",")</f>
        <v>"V_TacVestCamo_khk",</v>
      </c>
      <c r="F67" s="28" t="str">
        <f>IF(isblank(A67) ,Concatenate("&gt; ",'RHS INPUT'!A67) , if('RHS INPUT'!F67=1,CONCATENATE(round('RHS INPUT'!N67),Char(44)," ",'RHS INPUT'!C67),""))</f>
        <v>29, V_TacVestCamo_khk</v>
      </c>
    </row>
    <row r="68" ht="12.0" customHeight="1">
      <c r="A68" s="1" t="str">
        <f>IFERROR(__xludf.DUMMYFUNCTION("if(ISBLANK('RHS INPUT'!C68),,CONCATENATE(CHAR(34),To_Text('RHS INPUT'!C68),CHAR(34),CHAR(44)))"),"""V_TacVestIR_blk"",")</f>
        <v>"V_TacVestIR_blk",</v>
      </c>
      <c r="B68" s="18" t="str">
        <f>if(isblank('RHS INPUT'!A68),,CONCATENATE("/*  ",'RHS INPUT'!A68,"  */"))</f>
        <v/>
      </c>
      <c r="C68" s="22" t="str">
        <f>if(isblank(A68),,if('RHS INPUT'!D68=1,Concatenate("class ",'RHS INPUT'!C68),))</f>
        <v>class V_TacVestIR_blk</v>
      </c>
      <c r="D68" s="27" t="str">
        <f>if(ISBLANK(A68),,if('RHS INPUT'!D68=1,CONCATENATE("{quality = ",'RHS INPUT'!G68,"; price = ",Round('RHS INPUT'!M68),";};"),""))</f>
        <v>{quality = 2; price = 328;};</v>
      </c>
      <c r="E68" t="str">
        <f>IFERROR(__xludf.DUMMYFUNCTION("if(ISBLANK(A68),, if('RHS INPUT'!E68=1,CONCATENATE(CHAR(34),To_Text('RHS INPUT'!C68),CHAR(34),CHAR(44)),""""))"),"""V_TacVestIR_blk"",")</f>
        <v>"V_TacVestIR_blk",</v>
      </c>
      <c r="F68" s="28" t="str">
        <f>IF(isblank(A68) ,Concatenate("&gt; ",'RHS INPUT'!A68) , if('RHS INPUT'!F68=1,CONCATENATE(round('RHS INPUT'!N68),Char(44)," ",'RHS INPUT'!C68),""))</f>
        <v>23, V_TacVestIR_blk</v>
      </c>
    </row>
    <row r="69" ht="12.0" customHeight="1">
      <c r="A69" s="1" t="str">
        <f>IFERROR(__xludf.DUMMYFUNCTION("if(ISBLANK('RHS INPUT'!C69),,CONCATENATE(CHAR(34),To_Text('RHS INPUT'!C69),CHAR(34),CHAR(44)))"),"""V_I_G_resistanceLeader_F"",")</f>
        <v>"V_I_G_resistanceLeader_F",</v>
      </c>
      <c r="B69" s="18" t="str">
        <f>if(isblank('RHS INPUT'!A69),,CONCATENATE("/*  ",'RHS INPUT'!A69,"  */"))</f>
        <v/>
      </c>
      <c r="C69" s="22" t="str">
        <f>if(isblank(A69),,if('RHS INPUT'!D69=1,Concatenate("class ",'RHS INPUT'!C69),))</f>
        <v>class V_I_G_resistanceLeader_F</v>
      </c>
      <c r="D69" s="27" t="str">
        <f>if(ISBLANK(A69),,if('RHS INPUT'!D69=1,CONCATENATE("{quality = ",'RHS INPUT'!G69,"; price = ",Round('RHS INPUT'!M69),";};"),""))</f>
        <v>{quality = 2; price = 248;};</v>
      </c>
      <c r="E69" t="str">
        <f>IFERROR(__xludf.DUMMYFUNCTION("if(ISBLANK(A69),, if('RHS INPUT'!E69=1,CONCATENATE(CHAR(34),To_Text('RHS INPUT'!C69),CHAR(34),CHAR(44)),""""))"),"""V_I_G_resistanceLeader_F"",")</f>
        <v>"V_I_G_resistanceLeader_F",</v>
      </c>
      <c r="F69" s="28" t="str">
        <f>IF(isblank(A69) ,Concatenate("&gt; ",'RHS INPUT'!A69) , if('RHS INPUT'!F69=1,CONCATENATE(round('RHS INPUT'!N69),Char(44)," ",'RHS INPUT'!C69),""))</f>
        <v>29, V_I_G_resistanceLeader_F</v>
      </c>
    </row>
    <row r="70" ht="12.0" customHeight="1">
      <c r="A70" s="1" t="str">
        <f>IFERROR(__xludf.DUMMYFUNCTION("if(ISBLANK('RHS INPUT'!C70),,CONCATENATE(CHAR(34),To_Text('RHS INPUT'!C70),CHAR(34),CHAR(44)))"),"""V_PlateCarrier1_blk"",")</f>
        <v>"V_PlateCarrier1_blk",</v>
      </c>
      <c r="B70" s="18" t="str">
        <f>if(isblank('RHS INPUT'!A70),,CONCATENATE("/*  ",'RHS INPUT'!A70,"  */"))</f>
        <v/>
      </c>
      <c r="C70" s="22" t="str">
        <f>if(isblank(A70),,if('RHS INPUT'!D70=1,Concatenate("class ",'RHS INPUT'!C70),))</f>
        <v>class V_PlateCarrier1_blk</v>
      </c>
      <c r="D70" s="27" t="str">
        <f>if(ISBLANK(A70),,if('RHS INPUT'!D70=1,CONCATENATE("{quality = ",'RHS INPUT'!G70,"; price = ",Round('RHS INPUT'!M70),";};"),""))</f>
        <v>{quality = 3; price = 516;};</v>
      </c>
      <c r="E70" t="str">
        <f>IFERROR(__xludf.DUMMYFUNCTION("if(ISBLANK(A70),, if('RHS INPUT'!E70=1,CONCATENATE(CHAR(34),To_Text('RHS INPUT'!C70),CHAR(34),CHAR(44)),""""))"),"""V_PlateCarrier1_blk"",")</f>
        <v>"V_PlateCarrier1_blk",</v>
      </c>
      <c r="F70" s="28" t="str">
        <f>IF(isblank(A70) ,Concatenate("&gt; ",'RHS INPUT'!A70) , if('RHS INPUT'!F70=1,CONCATENATE(round('RHS INPUT'!N70),Char(44)," ",'RHS INPUT'!C70),""))</f>
        <v>16, V_PlateCarrier1_blk</v>
      </c>
    </row>
    <row r="71" ht="12.0" customHeight="1">
      <c r="A71" s="1" t="str">
        <f>IFERROR(__xludf.DUMMYFUNCTION("if(ISBLANK('RHS INPUT'!C71),,CONCATENATE(CHAR(34),To_Text('RHS INPUT'!C71),CHAR(34),CHAR(44)))"),"""V_PlateCarrier1_rgr"",")</f>
        <v>"V_PlateCarrier1_rgr",</v>
      </c>
      <c r="B71" s="18" t="str">
        <f>if(isblank('RHS INPUT'!A71),,CONCATENATE("/*  ",'RHS INPUT'!A71,"  */"))</f>
        <v/>
      </c>
      <c r="C71" s="22" t="str">
        <f>if(isblank(A71),,if('RHS INPUT'!D71=1,Concatenate("class ",'RHS INPUT'!C71),))</f>
        <v>class V_PlateCarrier1_rgr</v>
      </c>
      <c r="D71" s="27" t="str">
        <f>if(ISBLANK(A71),,if('RHS INPUT'!D71=1,CONCATENATE("{quality = ",'RHS INPUT'!G71,"; price = ",Round('RHS INPUT'!M71),";};"),""))</f>
        <v>{quality = 3; price = 516;};</v>
      </c>
      <c r="E71" t="str">
        <f>IFERROR(__xludf.DUMMYFUNCTION("if(ISBLANK(A71),, if('RHS INPUT'!E71=1,CONCATENATE(CHAR(34),To_Text('RHS INPUT'!C71),CHAR(34),CHAR(44)),""""))"),"""V_PlateCarrier1_rgr"",")</f>
        <v>"V_PlateCarrier1_rgr",</v>
      </c>
      <c r="F71" s="28" t="str">
        <f>IF(isblank(A71) ,Concatenate("&gt; ",'RHS INPUT'!A71) , if('RHS INPUT'!F71=1,CONCATENATE(round('RHS INPUT'!N71),Char(44)," ",'RHS INPUT'!C71),""))</f>
        <v>16, V_PlateCarrier1_rgr</v>
      </c>
    </row>
    <row r="72" ht="12.0" customHeight="1">
      <c r="A72" s="1" t="str">
        <f>IFERROR(__xludf.DUMMYFUNCTION("if(ISBLANK('RHS INPUT'!C72),,CONCATENATE(CHAR(34),To_Text('RHS INPUT'!C72),CHAR(34),CHAR(44)))"),"""V_PlateCarrier2_rgr"",")</f>
        <v>"V_PlateCarrier2_rgr",</v>
      </c>
      <c r="B72" s="18" t="str">
        <f>if(isblank('RHS INPUT'!A72),,CONCATENATE("/*  ",'RHS INPUT'!A72,"  */"))</f>
        <v/>
      </c>
      <c r="C72" s="22" t="str">
        <f>if(isblank(A72),,if('RHS INPUT'!D72=1,Concatenate("class ",'RHS INPUT'!C72),))</f>
        <v>class V_PlateCarrier2_rgr</v>
      </c>
      <c r="D72" s="27" t="str">
        <f>if(ISBLANK(A72),,if('RHS INPUT'!D72=1,CONCATENATE("{quality = ",'RHS INPUT'!G72,"; price = ",Round('RHS INPUT'!M72),";};"),""))</f>
        <v>{quality = 3; price = 540;};</v>
      </c>
      <c r="E72" t="str">
        <f>IFERROR(__xludf.DUMMYFUNCTION("if(ISBLANK(A72),, if('RHS INPUT'!E72=1,CONCATENATE(CHAR(34),To_Text('RHS INPUT'!C72),CHAR(34),CHAR(44)),""""))"),"""V_PlateCarrier2_rgr"",")</f>
        <v>"V_PlateCarrier2_rgr",</v>
      </c>
      <c r="F72" s="28" t="str">
        <f>IF(isblank(A72) ,Concatenate("&gt; ",'RHS INPUT'!A72) , if('RHS INPUT'!F72=1,CONCATENATE(round('RHS INPUT'!N72),Char(44)," ",'RHS INPUT'!C72),""))</f>
        <v>16, V_PlateCarrier2_rgr</v>
      </c>
    </row>
    <row r="73" ht="12.0" customHeight="1">
      <c r="A73" s="1" t="str">
        <f>IFERROR(__xludf.DUMMYFUNCTION("if(ISBLANK('RHS INPUT'!C73),,CONCATENATE(CHAR(34),To_Text('RHS INPUT'!C73),CHAR(34),CHAR(44)))"),"""V_PlateCarrier3_rgr"",")</f>
        <v>"V_PlateCarrier3_rgr",</v>
      </c>
      <c r="B73" s="18" t="str">
        <f>if(isblank('RHS INPUT'!A73),,CONCATENATE("/*  ",'RHS INPUT'!A73,"  */"))</f>
        <v/>
      </c>
      <c r="C73" s="22" t="str">
        <f>if(isblank(A73),,if('RHS INPUT'!D73=1,Concatenate("class ",'RHS INPUT'!C73),))</f>
        <v>class V_PlateCarrier3_rgr</v>
      </c>
      <c r="D73" s="27" t="str">
        <f>if(ISBLANK(A73),,if('RHS INPUT'!D73=1,CONCATENATE("{quality = ",'RHS INPUT'!G73,"; price = ",Round('RHS INPUT'!M73),";};"),""))</f>
        <v>{quality = 3; price = 540;};</v>
      </c>
      <c r="E73" t="str">
        <f>IFERROR(__xludf.DUMMYFUNCTION("if(ISBLANK(A73),, if('RHS INPUT'!E73=1,CONCATENATE(CHAR(34),To_Text('RHS INPUT'!C73),CHAR(34),CHAR(44)),""""))"),"""V_PlateCarrier3_rgr"",")</f>
        <v>"V_PlateCarrier3_rgr",</v>
      </c>
      <c r="F73" s="28" t="str">
        <f>IF(isblank(A73) ,Concatenate("&gt; ",'RHS INPUT'!A73) , if('RHS INPUT'!F73=1,CONCATENATE(round('RHS INPUT'!N73),Char(44)," ",'RHS INPUT'!C73),""))</f>
        <v>16, V_PlateCarrier3_rgr</v>
      </c>
    </row>
    <row r="74" ht="12.0" customHeight="1">
      <c r="A74" s="1" t="str">
        <f>IFERROR(__xludf.DUMMYFUNCTION("if(ISBLANK('RHS INPUT'!C74),,CONCATENATE(CHAR(34),To_Text('RHS INPUT'!C74),CHAR(34),CHAR(44)))"),"""V_PlateCarrierGL_blk"",")</f>
        <v>"V_PlateCarrierGL_blk",</v>
      </c>
      <c r="B74" s="18" t="str">
        <f>if(isblank('RHS INPUT'!A74),,CONCATENATE("/*  ",'RHS INPUT'!A74,"  */"))</f>
        <v/>
      </c>
      <c r="C74" s="22" t="str">
        <f>if(isblank(A74),,if('RHS INPUT'!D74=1,Concatenate("class ",'RHS INPUT'!C74),))</f>
        <v>class V_PlateCarrierGL_blk</v>
      </c>
      <c r="D74" s="27" t="str">
        <f>if(ISBLANK(A74),,if('RHS INPUT'!D74=1,CONCATENATE("{quality = ",'RHS INPUT'!G74,"; price = ",Round('RHS INPUT'!M74),";};"),""))</f>
        <v>{quality = 3; price = 828;};</v>
      </c>
      <c r="E74" t="str">
        <f>IFERROR(__xludf.DUMMYFUNCTION("if(ISBLANK(A74),, if('RHS INPUT'!E74=1,CONCATENATE(CHAR(34),To_Text('RHS INPUT'!C74),CHAR(34),CHAR(44)),""""))"),"""V_PlateCarrierGL_blk"",")</f>
        <v>"V_PlateCarrierGL_blk",</v>
      </c>
      <c r="F74" s="28" t="str">
        <f>IF(isblank(A74) ,Concatenate("&gt; ",'RHS INPUT'!A74) , if('RHS INPUT'!F74=1,CONCATENATE(round('RHS INPUT'!N74),Char(44)," ",'RHS INPUT'!C74),""))</f>
        <v>11, V_PlateCarrierGL_blk</v>
      </c>
    </row>
    <row r="75" ht="12.0" customHeight="1">
      <c r="A75" s="1" t="str">
        <f>IFERROR(__xludf.DUMMYFUNCTION("if(ISBLANK('RHS INPUT'!C75),,CONCATENATE(CHAR(34),To_Text('RHS INPUT'!C75),CHAR(34),CHAR(44)))"),"""V_PlateCarrierGL_mtp"",")</f>
        <v>"V_PlateCarrierGL_mtp",</v>
      </c>
      <c r="B75" s="18" t="str">
        <f>if(isblank('RHS INPUT'!A75),,CONCATENATE("/*  ",'RHS INPUT'!A75,"  */"))</f>
        <v/>
      </c>
      <c r="C75" s="22" t="str">
        <f>if(isblank(A75),,if('RHS INPUT'!D75=1,Concatenate("class ",'RHS INPUT'!C75),))</f>
        <v>class V_PlateCarrierGL_mtp</v>
      </c>
      <c r="D75" s="27" t="str">
        <f>if(ISBLANK(A75),,if('RHS INPUT'!D75=1,CONCATENATE("{quality = ",'RHS INPUT'!G75,"; price = ",Round('RHS INPUT'!M75),";};"),""))</f>
        <v>{quality = 3; price = 828;};</v>
      </c>
      <c r="E75" t="str">
        <f>IFERROR(__xludf.DUMMYFUNCTION("if(ISBLANK(A75),, if('RHS INPUT'!E75=1,CONCATENATE(CHAR(34),To_Text('RHS INPUT'!C75),CHAR(34),CHAR(44)),""""))"),"""V_PlateCarrierGL_mtp"",")</f>
        <v>"V_PlateCarrierGL_mtp",</v>
      </c>
      <c r="F75" s="28" t="str">
        <f>IF(isblank(A75) ,Concatenate("&gt; ",'RHS INPUT'!A75) , if('RHS INPUT'!F75=1,CONCATENATE(round('RHS INPUT'!N75),Char(44)," ",'RHS INPUT'!C75),""))</f>
        <v>11, V_PlateCarrierGL_mtp</v>
      </c>
    </row>
    <row r="76" ht="12.0" customHeight="1">
      <c r="A76" s="1" t="str">
        <f>IFERROR(__xludf.DUMMYFUNCTION("if(ISBLANK('RHS INPUT'!C76),,CONCATENATE(CHAR(34),To_Text('RHS INPUT'!C76),CHAR(34),CHAR(44)))"),"""V_PlateCarrierGL_rgr"",")</f>
        <v>"V_PlateCarrierGL_rgr",</v>
      </c>
      <c r="B76" s="18" t="str">
        <f>if(isblank('RHS INPUT'!A76),,CONCATENATE("/*  ",'RHS INPUT'!A76,"  */"))</f>
        <v/>
      </c>
      <c r="C76" s="22" t="str">
        <f>if(isblank(A76),,if('RHS INPUT'!D76=1,Concatenate("class ",'RHS INPUT'!C76),))</f>
        <v>class V_PlateCarrierGL_rgr</v>
      </c>
      <c r="D76" s="27" t="str">
        <f>if(ISBLANK(A76),,if('RHS INPUT'!D76=1,CONCATENATE("{quality = ",'RHS INPUT'!G76,"; price = ",Round('RHS INPUT'!M76),";};"),""))</f>
        <v>{quality = 3; price = 828;};</v>
      </c>
      <c r="E76" t="str">
        <f>IFERROR(__xludf.DUMMYFUNCTION("if(ISBLANK(A76),, if('RHS INPUT'!E76=1,CONCATENATE(CHAR(34),To_Text('RHS INPUT'!C76),CHAR(34),CHAR(44)),""""))"),"""V_PlateCarrierGL_rgr"",")</f>
        <v>"V_PlateCarrierGL_rgr",</v>
      </c>
      <c r="F76" s="28" t="str">
        <f>IF(isblank(A76) ,Concatenate("&gt; ",'RHS INPUT'!A76) , if('RHS INPUT'!F76=1,CONCATENATE(round('RHS INPUT'!N76),Char(44)," ",'RHS INPUT'!C76),""))</f>
        <v>11, V_PlateCarrierGL_rgr</v>
      </c>
    </row>
    <row r="77" ht="12.0" customHeight="1">
      <c r="A77" s="1" t="str">
        <f>IFERROR(__xludf.DUMMYFUNCTION("if(ISBLANK('RHS INPUT'!C77),,CONCATENATE(CHAR(34),To_Text('RHS INPUT'!C77),CHAR(34),CHAR(44)))"),"""V_PlateCarrierH_CTRG"",")</f>
        <v>"V_PlateCarrierH_CTRG",</v>
      </c>
      <c r="B77" s="18" t="str">
        <f>if(isblank('RHS INPUT'!A77),,CONCATENATE("/*  ",'RHS INPUT'!A77,"  */"))</f>
        <v/>
      </c>
      <c r="C77" s="22" t="str">
        <f>if(isblank(A77),,if('RHS INPUT'!D77=1,Concatenate("class ",'RHS INPUT'!C77),))</f>
        <v>class V_PlateCarrierH_CTRG</v>
      </c>
      <c r="D77" s="27" t="str">
        <f>if(ISBLANK(A77),,if('RHS INPUT'!D77=1,CONCATENATE("{quality = ",'RHS INPUT'!G77,"; price = ",Round('RHS INPUT'!M77),";};"),""))</f>
        <v>{quality = 3; price = 540;};</v>
      </c>
      <c r="E77" t="str">
        <f>IFERROR(__xludf.DUMMYFUNCTION("if(ISBLANK(A77),, if('RHS INPUT'!E77=1,CONCATENATE(CHAR(34),To_Text('RHS INPUT'!C77),CHAR(34),CHAR(44)),""""))"),"""V_PlateCarrierH_CTRG"",")</f>
        <v>"V_PlateCarrierH_CTRG",</v>
      </c>
      <c r="F77" s="28" t="str">
        <f>IF(isblank(A77) ,Concatenate("&gt; ",'RHS INPUT'!A77) , if('RHS INPUT'!F77=1,CONCATENATE(round('RHS INPUT'!N77),Char(44)," ",'RHS INPUT'!C77),""))</f>
        <v>16, V_PlateCarrierH_CTRG</v>
      </c>
    </row>
    <row r="78" ht="12.0" customHeight="1">
      <c r="A78" s="1" t="str">
        <f>IFERROR(__xludf.DUMMYFUNCTION("if(ISBLANK('RHS INPUT'!C78),,CONCATENATE(CHAR(34),To_Text('RHS INPUT'!C78),CHAR(34),CHAR(44)))"),"""V_PlateCarrierIA1_dgtl"",")</f>
        <v>"V_PlateCarrierIA1_dgtl",</v>
      </c>
      <c r="B78" s="18" t="str">
        <f>if(isblank('RHS INPUT'!A78),,CONCATENATE("/*  ",'RHS INPUT'!A78,"  */"))</f>
        <v/>
      </c>
      <c r="C78" s="22" t="str">
        <f>if(isblank(A78),,if('RHS INPUT'!D78=1,Concatenate("class ",'RHS INPUT'!C78),))</f>
        <v>class V_PlateCarrierIA1_dgtl</v>
      </c>
      <c r="D78" s="27" t="str">
        <f>if(ISBLANK(A78),,if('RHS INPUT'!D78=1,CONCATENATE("{quality = ",'RHS INPUT'!G78,"; price = ",Round('RHS INPUT'!M78),";};"),""))</f>
        <v>{quality = 3; price = 456;};</v>
      </c>
      <c r="E78" t="str">
        <f>IFERROR(__xludf.DUMMYFUNCTION("if(ISBLANK(A78),, if('RHS INPUT'!E78=1,CONCATENATE(CHAR(34),To_Text('RHS INPUT'!C78),CHAR(34),CHAR(44)),""""))"),"""V_PlateCarrierIA1_dgtl"",")</f>
        <v>"V_PlateCarrierIA1_dgtl",</v>
      </c>
      <c r="F78" s="28" t="str">
        <f>IF(isblank(A78) ,Concatenate("&gt; ",'RHS INPUT'!A78) , if('RHS INPUT'!F78=1,CONCATENATE(round('RHS INPUT'!N78),Char(44)," ",'RHS INPUT'!C78),""))</f>
        <v>18, V_PlateCarrierIA1_dgtl</v>
      </c>
    </row>
    <row r="79" ht="12.0" customHeight="1">
      <c r="A79" s="1" t="str">
        <f>IFERROR(__xludf.DUMMYFUNCTION("if(ISBLANK('RHS INPUT'!C79),,CONCATENATE(CHAR(34),To_Text('RHS INPUT'!C79),CHAR(34),CHAR(44)))"),"""V_PlateCarrierIA2_dgtl"",")</f>
        <v>"V_PlateCarrierIA2_dgtl",</v>
      </c>
      <c r="B79" s="18" t="str">
        <f>if(isblank('RHS INPUT'!A79),,CONCATENATE("/*  ",'RHS INPUT'!A79,"  */"))</f>
        <v/>
      </c>
      <c r="C79" s="22" t="str">
        <f>if(isblank(A79),,if('RHS INPUT'!D79=1,Concatenate("class ",'RHS INPUT'!C79),))</f>
        <v>class V_PlateCarrierIA2_dgtl</v>
      </c>
      <c r="D79" s="27" t="str">
        <f>if(ISBLANK(A79),,if('RHS INPUT'!D79=1,CONCATENATE("{quality = ",'RHS INPUT'!G79,"; price = ",Round('RHS INPUT'!M79),";};"),""))</f>
        <v>{quality = 3; price = 488;};</v>
      </c>
      <c r="E79" t="str">
        <f>IFERROR(__xludf.DUMMYFUNCTION("if(ISBLANK(A79),, if('RHS INPUT'!E79=1,CONCATENATE(CHAR(34),To_Text('RHS INPUT'!C79),CHAR(34),CHAR(44)),""""))"),"""V_PlateCarrierIA2_dgtl"",")</f>
        <v>"V_PlateCarrierIA2_dgtl",</v>
      </c>
      <c r="F79" s="28" t="str">
        <f>IF(isblank(A79) ,Concatenate("&gt; ",'RHS INPUT'!A79) , if('RHS INPUT'!F79=1,CONCATENATE(round('RHS INPUT'!N79),Char(44)," ",'RHS INPUT'!C79),""))</f>
        <v>17, V_PlateCarrierIA2_dgtl</v>
      </c>
    </row>
    <row r="80" ht="12.0" customHeight="1">
      <c r="A80" s="1" t="str">
        <f>IFERROR(__xludf.DUMMYFUNCTION("if(ISBLANK('RHS INPUT'!C80),,CONCATENATE(CHAR(34),To_Text('RHS INPUT'!C80),CHAR(34),CHAR(44)))"),"""V_PlateCarrierIAGL_dgtl"",")</f>
        <v>"V_PlateCarrierIAGL_dgtl",</v>
      </c>
      <c r="B80" s="18" t="str">
        <f>if(isblank('RHS INPUT'!A80),,CONCATENATE("/*  ",'RHS INPUT'!A80,"  */"))</f>
        <v/>
      </c>
      <c r="C80" s="22" t="str">
        <f>if(isblank(A80),,if('RHS INPUT'!D80=1,Concatenate("class ",'RHS INPUT'!C80),))</f>
        <v>class V_PlateCarrierIAGL_dgtl</v>
      </c>
      <c r="D80" s="27" t="str">
        <f>if(ISBLANK(A80),,if('RHS INPUT'!D80=1,CONCATENATE("{quality = ",'RHS INPUT'!G80,"; price = ",Round('RHS INPUT'!M80),";};"),""))</f>
        <v>{quality = 3; price = 768;};</v>
      </c>
      <c r="E80" t="str">
        <f>IFERROR(__xludf.DUMMYFUNCTION("if(ISBLANK(A80),, if('RHS INPUT'!E80=1,CONCATENATE(CHAR(34),To_Text('RHS INPUT'!C80),CHAR(34),CHAR(44)),""""))"),"""V_PlateCarrierIAGL_dgtl"",")</f>
        <v>"V_PlateCarrierIAGL_dgtl",</v>
      </c>
      <c r="F80" s="28" t="str">
        <f>IF(isblank(A80) ,Concatenate("&gt; ",'RHS INPUT'!A80) , if('RHS INPUT'!F80=1,CONCATENATE(round('RHS INPUT'!N80),Char(44)," ",'RHS INPUT'!C80),""))</f>
        <v>12, V_PlateCarrierIAGL_dgtl</v>
      </c>
    </row>
    <row r="81" ht="12.0" customHeight="1">
      <c r="A81" s="1" t="str">
        <f>IFERROR(__xludf.DUMMYFUNCTION("if(ISBLANK('RHS INPUT'!C81),,CONCATENATE(CHAR(34),To_Text('RHS INPUT'!C81),CHAR(34),CHAR(44)))"),"""V_PlateCarrierIAGL_oli"",")</f>
        <v>"V_PlateCarrierIAGL_oli",</v>
      </c>
      <c r="B81" s="18" t="str">
        <f>if(isblank('RHS INPUT'!A81),,CONCATENATE("/*  ",'RHS INPUT'!A81,"  */"))</f>
        <v/>
      </c>
      <c r="C81" s="22" t="str">
        <f>if(isblank(A81),,if('RHS INPUT'!D81=1,Concatenate("class ",'RHS INPUT'!C81),))</f>
        <v>class V_PlateCarrierIAGL_oli</v>
      </c>
      <c r="D81" s="27" t="str">
        <f>if(ISBLANK(A81),,if('RHS INPUT'!D81=1,CONCATENATE("{quality = ",'RHS INPUT'!G81,"; price = ",Round('RHS INPUT'!M81),";};"),""))</f>
        <v>{quality = 3; price = 768;};</v>
      </c>
      <c r="E81" t="str">
        <f>IFERROR(__xludf.DUMMYFUNCTION("if(ISBLANK(A81),, if('RHS INPUT'!E81=1,CONCATENATE(CHAR(34),To_Text('RHS INPUT'!C81),CHAR(34),CHAR(44)),""""))"),"""V_PlateCarrierIAGL_oli"",")</f>
        <v>"V_PlateCarrierIAGL_oli",</v>
      </c>
      <c r="F81" s="28" t="str">
        <f>IF(isblank(A81) ,Concatenate("&gt; ",'RHS INPUT'!A81) , if('RHS INPUT'!F81=1,CONCATENATE(round('RHS INPUT'!N81),Char(44)," ",'RHS INPUT'!C81),""))</f>
        <v>12, V_PlateCarrierIAGL_oli</v>
      </c>
    </row>
    <row r="82" ht="12.0" customHeight="1">
      <c r="A82" s="1" t="str">
        <f>IFERROR(__xludf.DUMMYFUNCTION("if(ISBLANK('RHS INPUT'!C82),,CONCATENATE(CHAR(34),To_Text('RHS INPUT'!C82),CHAR(34),CHAR(44)))"),"""V_PlateCarrierL_CTRG"",")</f>
        <v>"V_PlateCarrierL_CTRG",</v>
      </c>
      <c r="B82" s="18" t="str">
        <f>if(isblank('RHS INPUT'!A82),,CONCATENATE("/*  ",'RHS INPUT'!A82,"  */"))</f>
        <v/>
      </c>
      <c r="C82" s="22" t="str">
        <f>if(isblank(A82),,if('RHS INPUT'!D82=1,Concatenate("class ",'RHS INPUT'!C82),))</f>
        <v>class V_PlateCarrierL_CTRG</v>
      </c>
      <c r="D82" s="27" t="str">
        <f>if(ISBLANK(A82),,if('RHS INPUT'!D82=1,CONCATENATE("{quality = ",'RHS INPUT'!G82,"; price = ",Round('RHS INPUT'!M82),";};"),""))</f>
        <v>{quality = 3; price = 516;};</v>
      </c>
      <c r="E82" t="str">
        <f>IFERROR(__xludf.DUMMYFUNCTION("if(ISBLANK(A82),, if('RHS INPUT'!E82=1,CONCATENATE(CHAR(34),To_Text('RHS INPUT'!C82),CHAR(34),CHAR(44)),""""))"),"""V_PlateCarrierL_CTRG"",")</f>
        <v>"V_PlateCarrierL_CTRG",</v>
      </c>
      <c r="F82" s="28" t="str">
        <f>IF(isblank(A82) ,Concatenate("&gt; ",'RHS INPUT'!A82) , if('RHS INPUT'!F82=1,CONCATENATE(round('RHS INPUT'!N82),Char(44)," ",'RHS INPUT'!C82),""))</f>
        <v>16, V_PlateCarrierL_CTRG</v>
      </c>
    </row>
    <row r="83" ht="12.0" customHeight="1">
      <c r="A83" s="1" t="str">
        <f>IFERROR(__xludf.DUMMYFUNCTION("if(ISBLANK('RHS INPUT'!C83),,CONCATENATE(CHAR(34),To_Text('RHS INPUT'!C83),CHAR(34),CHAR(44)))"),"""V_PlateCarrierSpec_blk"",")</f>
        <v>"V_PlateCarrierSpec_blk",</v>
      </c>
      <c r="B83" s="18" t="str">
        <f>if(isblank('RHS INPUT'!A83),,CONCATENATE("/*  ",'RHS INPUT'!A83,"  */"))</f>
        <v/>
      </c>
      <c r="C83" s="22" t="str">
        <f>if(isblank(A83),,if('RHS INPUT'!D83=1,Concatenate("class ",'RHS INPUT'!C83),))</f>
        <v>class V_PlateCarrierSpec_blk</v>
      </c>
      <c r="D83" s="27" t="str">
        <f>if(ISBLANK(A83),,if('RHS INPUT'!D83=1,CONCATENATE("{quality = ",'RHS INPUT'!G83,"; price = ",Round('RHS INPUT'!M83),";};"),""))</f>
        <v>{quality = 3; price = 476;};</v>
      </c>
      <c r="E83" t="str">
        <f>IFERROR(__xludf.DUMMYFUNCTION("if(ISBLANK(A83),, if('RHS INPUT'!E83=1,CONCATENATE(CHAR(34),To_Text('RHS INPUT'!C83),CHAR(34),CHAR(44)),""""))"),"""V_PlateCarrierSpec_blk"",")</f>
        <v>"V_PlateCarrierSpec_blk",</v>
      </c>
      <c r="F83" s="28" t="str">
        <f>IF(isblank(A83) ,Concatenate("&gt; ",'RHS INPUT'!A83) , if('RHS INPUT'!F83=1,CONCATENATE(round('RHS INPUT'!N83),Char(44)," ",'RHS INPUT'!C83),""))</f>
        <v>17, V_PlateCarrierSpec_blk</v>
      </c>
    </row>
    <row r="84" ht="12.0" customHeight="1">
      <c r="A84" s="1" t="str">
        <f>IFERROR(__xludf.DUMMYFUNCTION("if(ISBLANK('RHS INPUT'!C84),,CONCATENATE(CHAR(34),To_Text('RHS INPUT'!C84),CHAR(34),CHAR(44)))"),"""V_PlateCarrierSpec_mtp"",")</f>
        <v>"V_PlateCarrierSpec_mtp",</v>
      </c>
      <c r="B84" s="18" t="str">
        <f>if(isblank('RHS INPUT'!A84),,CONCATENATE("/*  ",'RHS INPUT'!A84,"  */"))</f>
        <v/>
      </c>
      <c r="C84" s="22" t="str">
        <f>if(isblank(A84),,if('RHS INPUT'!D84=1,Concatenate("class ",'RHS INPUT'!C84),))</f>
        <v>class V_PlateCarrierSpec_mtp</v>
      </c>
      <c r="D84" s="27" t="str">
        <f>if(ISBLANK(A84),,if('RHS INPUT'!D84=1,CONCATENATE("{quality = ",'RHS INPUT'!G84,"; price = ",Round('RHS INPUT'!M84),";};"),""))</f>
        <v>{quality = 3; price = 476;};</v>
      </c>
      <c r="E84" t="str">
        <f>IFERROR(__xludf.DUMMYFUNCTION("if(ISBLANK(A84),, if('RHS INPUT'!E84=1,CONCATENATE(CHAR(34),To_Text('RHS INPUT'!C84),CHAR(34),CHAR(44)),""""))"),"""V_PlateCarrierSpec_mtp"",")</f>
        <v>"V_PlateCarrierSpec_mtp",</v>
      </c>
      <c r="F84" s="28" t="str">
        <f>IF(isblank(A84) ,Concatenate("&gt; ",'RHS INPUT'!A84) , if('RHS INPUT'!F84=1,CONCATENATE(round('RHS INPUT'!N84),Char(44)," ",'RHS INPUT'!C84),""))</f>
        <v>17, V_PlateCarrierSpec_mtp</v>
      </c>
    </row>
    <row r="85" ht="12.0" customHeight="1">
      <c r="A85" s="1" t="str">
        <f>IFERROR(__xludf.DUMMYFUNCTION("if(ISBLANK('RHS INPUT'!C85),,CONCATENATE(CHAR(34),To_Text('RHS INPUT'!C85),CHAR(34),CHAR(44)))"),"""V_PlateCarrierSpec_rgr"",")</f>
        <v>"V_PlateCarrierSpec_rgr",</v>
      </c>
      <c r="B85" s="18" t="str">
        <f>if(isblank('RHS INPUT'!A85),,CONCATENATE("/*  ",'RHS INPUT'!A85,"  */"))</f>
        <v/>
      </c>
      <c r="C85" s="22" t="str">
        <f>if(isblank(A85),,if('RHS INPUT'!D85=1,Concatenate("class ",'RHS INPUT'!C85),))</f>
        <v>class V_PlateCarrierSpec_rgr</v>
      </c>
      <c r="D85" s="27" t="str">
        <f>if(ISBLANK(A85),,if('RHS INPUT'!D85=1,CONCATENATE("{quality = ",'RHS INPUT'!G85,"; price = ",Round('RHS INPUT'!M85),";};"),""))</f>
        <v>{quality = 3; price = 476;};</v>
      </c>
      <c r="E85" t="str">
        <f>IFERROR(__xludf.DUMMYFUNCTION("if(ISBLANK(A85),, if('RHS INPUT'!E85=1,CONCATENATE(CHAR(34),To_Text('RHS INPUT'!C85),CHAR(34),CHAR(44)),""""))"),"""V_PlateCarrierSpec_rgr"",")</f>
        <v>"V_PlateCarrierSpec_rgr",</v>
      </c>
      <c r="F85" s="28" t="str">
        <f>IF(isblank(A85) ,Concatenate("&gt; ",'RHS INPUT'!A85) , if('RHS INPUT'!F85=1,CONCATENATE(round('RHS INPUT'!N85),Char(44)," ",'RHS INPUT'!C85),""))</f>
        <v>17, V_PlateCarrierSpec_rgr</v>
      </c>
    </row>
    <row r="86" ht="12.0" customHeight="1">
      <c r="A86" s="1" t="str">
        <f>IFERROR(__xludf.DUMMYFUNCTION("if(ISBLANK('RHS INPUT'!C86),,CONCATENATE(CHAR(34),To_Text('RHS INPUT'!C86),CHAR(34),CHAR(44)))"),"")</f>
        <v/>
      </c>
      <c r="B86" s="18" t="str">
        <f>if(isblank('RHS INPUT'!A86),,CONCATENATE("/*  ",'RHS INPUT'!A86,"  */"))</f>
        <v>/*  HEADGEAR  */</v>
      </c>
      <c r="C86" s="22" t="str">
        <f>if(isblank(A86),,if('RHS INPUT'!D86=1,Concatenate("class ",'RHS INPUT'!C86),))</f>
        <v/>
      </c>
      <c r="D86" s="27" t="str">
        <f>if(ISBLANK(A86),,if('RHS INPUT'!D86=1,CONCATENATE("{quality = ",'RHS INPUT'!G86,"; price = ",Round('RHS INPUT'!M86),";};"),""))</f>
        <v/>
      </c>
      <c r="E86" t="str">
        <f>IFERROR(__xludf.DUMMYFUNCTION("if(ISBLANK(A86),, if('RHS INPUT'!E86=1,CONCATENATE(CHAR(34),To_Text('RHS INPUT'!C86),CHAR(34),CHAR(44)),""""))"),"")</f>
        <v/>
      </c>
      <c r="F86" s="28" t="str">
        <f>IF(isblank(A86) ,Concatenate("&gt; ",'RHS INPUT'!A86) , if('RHS INPUT'!F86=1,CONCATENATE(round('RHS INPUT'!N86),Char(44)," ",'RHS INPUT'!C86),""))</f>
        <v>&gt; HEADGEAR</v>
      </c>
    </row>
    <row r="87" ht="12.0" customHeight="1">
      <c r="A87" s="1" t="str">
        <f>IFERROR(__xludf.DUMMYFUNCTION("if(ISBLANK('RHS INPUT'!C87),,CONCATENATE(CHAR(34),To_Text('RHS INPUT'!C87),CHAR(34),CHAR(44)))"),"""H_Cap_blk"",")</f>
        <v>"H_Cap_blk",</v>
      </c>
      <c r="B87" s="18" t="str">
        <f>if(isblank('RHS INPUT'!A87),,CONCATENATE("/*  ",'RHS INPUT'!A87,"  */"))</f>
        <v/>
      </c>
      <c r="C87" s="22" t="str">
        <f>if(isblank(A87),,if('RHS INPUT'!D87=1,Concatenate("class ",'RHS INPUT'!C87),))</f>
        <v>class H_Cap_blk</v>
      </c>
      <c r="D87" s="27" t="str">
        <f>if(ISBLANK(A87),,if('RHS INPUT'!D87=1,CONCATENATE("{quality = ",'RHS INPUT'!G87,"; price = ",Round('RHS INPUT'!M87),";};"),""))</f>
        <v>{quality = 1; price = 20;};</v>
      </c>
      <c r="E87" t="str">
        <f>IFERROR(__xludf.DUMMYFUNCTION("if(ISBLANK(A87),, if('RHS INPUT'!E87=1,CONCATENATE(CHAR(34),To_Text('RHS INPUT'!C87),CHAR(34),CHAR(44)),""""))"),"""H_Cap_blk"",")</f>
        <v>"H_Cap_blk",</v>
      </c>
      <c r="F87" s="28" t="str">
        <f>IF(isblank(A87) ,Concatenate("&gt; ",'RHS INPUT'!A87) , if('RHS INPUT'!F87=1,CONCATENATE(round('RHS INPUT'!N87),Char(44)," ",'RHS INPUT'!C87),""))</f>
        <v>83, H_Cap_blk</v>
      </c>
    </row>
    <row r="88" ht="12.0" customHeight="1">
      <c r="A88" s="1" t="str">
        <f>IFERROR(__xludf.DUMMYFUNCTION("if(ISBLANK('RHS INPUT'!C88),,CONCATENATE(CHAR(34),To_Text('RHS INPUT'!C88),CHAR(34),CHAR(44)))"),"""H_Cap_blk_Raven"",")</f>
        <v>"H_Cap_blk_Raven",</v>
      </c>
      <c r="B88" s="18" t="str">
        <f>if(isblank('RHS INPUT'!A88),,CONCATENATE("/*  ",'RHS INPUT'!A88,"  */"))</f>
        <v/>
      </c>
      <c r="C88" s="22" t="str">
        <f>if(isblank(A88),,if('RHS INPUT'!D88=1,Concatenate("class ",'RHS INPUT'!C88),))</f>
        <v>class H_Cap_blk_Raven</v>
      </c>
      <c r="D88" s="27" t="str">
        <f>if(ISBLANK(A88),,if('RHS INPUT'!D88=1,CONCATENATE("{quality = ",'RHS INPUT'!G88,"; price = ",Round('RHS INPUT'!M88),";};"),""))</f>
        <v>{quality = 1; price = 20;};</v>
      </c>
      <c r="E88" t="str">
        <f>IFERROR(__xludf.DUMMYFUNCTION("if(ISBLANK(A88),, if('RHS INPUT'!E88=1,CONCATENATE(CHAR(34),To_Text('RHS INPUT'!C88),CHAR(34),CHAR(44)),""""))"),"""H_Cap_blk_Raven"",")</f>
        <v>"H_Cap_blk_Raven",</v>
      </c>
      <c r="F88" s="28" t="str">
        <f>IF(isblank(A88) ,Concatenate("&gt; ",'RHS INPUT'!A88) , if('RHS INPUT'!F88=1,CONCATENATE(round('RHS INPUT'!N88),Char(44)," ",'RHS INPUT'!C88),""))</f>
        <v>83, H_Cap_blk_Raven</v>
      </c>
    </row>
    <row r="89" ht="12.0" customHeight="1">
      <c r="A89" s="1" t="str">
        <f>IFERROR(__xludf.DUMMYFUNCTION("if(ISBLANK('RHS INPUT'!C89),,CONCATENATE(CHAR(34),To_Text('RHS INPUT'!C89),CHAR(34),CHAR(44)))"),"""H_Cap_blu"",")</f>
        <v>"H_Cap_blu",</v>
      </c>
      <c r="B89" s="18" t="str">
        <f>if(isblank('RHS INPUT'!A89),,CONCATENATE("/*  ",'RHS INPUT'!A89,"  */"))</f>
        <v/>
      </c>
      <c r="C89" s="22" t="str">
        <f>if(isblank(A89),,if('RHS INPUT'!D89=1,Concatenate("class ",'RHS INPUT'!C89),))</f>
        <v>class H_Cap_blu</v>
      </c>
      <c r="D89" s="27" t="str">
        <f>if(ISBLANK(A89),,if('RHS INPUT'!D89=1,CONCATENATE("{quality = ",'RHS INPUT'!G89,"; price = ",Round('RHS INPUT'!M89),";};"),""))</f>
        <v>{quality = 1; price = 20;};</v>
      </c>
      <c r="E89" t="str">
        <f>IFERROR(__xludf.DUMMYFUNCTION("if(ISBLANK(A89),, if('RHS INPUT'!E89=1,CONCATENATE(CHAR(34),To_Text('RHS INPUT'!C89),CHAR(34),CHAR(44)),""""))"),"""H_Cap_blu"",")</f>
        <v>"H_Cap_blu",</v>
      </c>
      <c r="F89" s="28" t="str">
        <f>IF(isblank(A89) ,Concatenate("&gt; ",'RHS INPUT'!A89) , if('RHS INPUT'!F89=1,CONCATENATE(round('RHS INPUT'!N89),Char(44)," ",'RHS INPUT'!C89),""))</f>
        <v>83, H_Cap_blu</v>
      </c>
    </row>
    <row r="90" ht="12.0" customHeight="1">
      <c r="A90" s="1" t="str">
        <f>IFERROR(__xludf.DUMMYFUNCTION("if(ISBLANK('RHS INPUT'!C90),,CONCATENATE(CHAR(34),To_Text('RHS INPUT'!C90),CHAR(34),CHAR(44)))"),"""H_Cap_brn_SPECOPS"",")</f>
        <v>"H_Cap_brn_SPECOPS",</v>
      </c>
      <c r="B90" s="18" t="str">
        <f>if(isblank('RHS INPUT'!A90),,CONCATENATE("/*  ",'RHS INPUT'!A90,"  */"))</f>
        <v/>
      </c>
      <c r="C90" s="22" t="str">
        <f>if(isblank(A90),,if('RHS INPUT'!D90=1,Concatenate("class ",'RHS INPUT'!C90),))</f>
        <v>class H_Cap_brn_SPECOPS</v>
      </c>
      <c r="D90" s="27" t="str">
        <f>if(ISBLANK(A90),,if('RHS INPUT'!D90=1,CONCATENATE("{quality = ",'RHS INPUT'!G90,"; price = ",Round('RHS INPUT'!M90),";};"),""))</f>
        <v>{quality = 1; price = 20;};</v>
      </c>
      <c r="E90" t="str">
        <f>IFERROR(__xludf.DUMMYFUNCTION("if(ISBLANK(A90),, if('RHS INPUT'!E90=1,CONCATENATE(CHAR(34),To_Text('RHS INPUT'!C90),CHAR(34),CHAR(44)),""""))"),"""H_Cap_brn_SPECOPS"",")</f>
        <v>"H_Cap_brn_SPECOPS",</v>
      </c>
      <c r="F90" s="28" t="str">
        <f>IF(isblank(A90) ,Concatenate("&gt; ",'RHS INPUT'!A90) , if('RHS INPUT'!F90=1,CONCATENATE(round('RHS INPUT'!N90),Char(44)," ",'RHS INPUT'!C90),""))</f>
        <v>83, H_Cap_brn_SPECOPS</v>
      </c>
    </row>
    <row r="91" ht="12.0" customHeight="1">
      <c r="A91" s="1" t="str">
        <f>IFERROR(__xludf.DUMMYFUNCTION("if(ISBLANK('RHS INPUT'!C91),,CONCATENATE(CHAR(34),To_Text('RHS INPUT'!C91),CHAR(34),CHAR(44)))"),"""H_Cap_grn"",")</f>
        <v>"H_Cap_grn",</v>
      </c>
      <c r="B91" s="18" t="str">
        <f>if(isblank('RHS INPUT'!A91),,CONCATENATE("/*  ",'RHS INPUT'!A91,"  */"))</f>
        <v/>
      </c>
      <c r="C91" s="22" t="str">
        <f>if(isblank(A91),,if('RHS INPUT'!D91=1,Concatenate("class ",'RHS INPUT'!C91),))</f>
        <v>class H_Cap_grn</v>
      </c>
      <c r="D91" s="27" t="str">
        <f>if(ISBLANK(A91),,if('RHS INPUT'!D91=1,CONCATENATE("{quality = ",'RHS INPUT'!G91,"; price = ",Round('RHS INPUT'!M91),";};"),""))</f>
        <v>{quality = 1; price = 20;};</v>
      </c>
      <c r="E91" t="str">
        <f>IFERROR(__xludf.DUMMYFUNCTION("if(ISBLANK(A91),, if('RHS INPUT'!E91=1,CONCATENATE(CHAR(34),To_Text('RHS INPUT'!C91),CHAR(34),CHAR(44)),""""))"),"""H_Cap_grn"",")</f>
        <v>"H_Cap_grn",</v>
      </c>
      <c r="F91" s="28" t="str">
        <f>IF(isblank(A91) ,Concatenate("&gt; ",'RHS INPUT'!A91) , if('RHS INPUT'!F91=1,CONCATENATE(round('RHS INPUT'!N91),Char(44)," ",'RHS INPUT'!C91),""))</f>
        <v>83, H_Cap_grn</v>
      </c>
    </row>
    <row r="92" ht="12.0" customHeight="1">
      <c r="A92" s="1" t="str">
        <f>IFERROR(__xludf.DUMMYFUNCTION("if(ISBLANK('RHS INPUT'!C92),,CONCATENATE(CHAR(34),To_Text('RHS INPUT'!C92),CHAR(34),CHAR(44)))"),"""H_Cap_headphones"",")</f>
        <v>"H_Cap_headphones",</v>
      </c>
      <c r="B92" s="18" t="str">
        <f>if(isblank('RHS INPUT'!A92),,CONCATENATE("/*  ",'RHS INPUT'!A92,"  */"))</f>
        <v/>
      </c>
      <c r="C92" s="22" t="str">
        <f>if(isblank(A92),,if('RHS INPUT'!D92=1,Concatenate("class ",'RHS INPUT'!C92),))</f>
        <v>class H_Cap_headphones</v>
      </c>
      <c r="D92" s="27" t="str">
        <f>if(ISBLANK(A92),,if('RHS INPUT'!D92=1,CONCATENATE("{quality = ",'RHS INPUT'!G92,"; price = ",Round('RHS INPUT'!M92),";};"),""))</f>
        <v>{quality = 1; price = 20;};</v>
      </c>
      <c r="E92" t="str">
        <f>IFERROR(__xludf.DUMMYFUNCTION("if(ISBLANK(A92),, if('RHS INPUT'!E92=1,CONCATENATE(CHAR(34),To_Text('RHS INPUT'!C92),CHAR(34),CHAR(44)),""""))"),"""H_Cap_headphones"",")</f>
        <v>"H_Cap_headphones",</v>
      </c>
      <c r="F92" s="28" t="str">
        <f>IF(isblank(A92) ,Concatenate("&gt; ",'RHS INPUT'!A92) , if('RHS INPUT'!F92=1,CONCATENATE(round('RHS INPUT'!N92),Char(44)," ",'RHS INPUT'!C92),""))</f>
        <v>83, H_Cap_headphones</v>
      </c>
    </row>
    <row r="93" ht="12.0" customHeight="1">
      <c r="A93" s="1" t="str">
        <f>IFERROR(__xludf.DUMMYFUNCTION("if(ISBLANK('RHS INPUT'!C93),,CONCATENATE(CHAR(34),To_Text('RHS INPUT'!C93),CHAR(34),CHAR(44)))"),"""H_Cap_khaki_specops_UK"",")</f>
        <v>"H_Cap_khaki_specops_UK",</v>
      </c>
      <c r="B93" s="18" t="str">
        <f>if(isblank('RHS INPUT'!A93),,CONCATENATE("/*  ",'RHS INPUT'!A93,"  */"))</f>
        <v/>
      </c>
      <c r="C93" s="22" t="str">
        <f>if(isblank(A93),,if('RHS INPUT'!D93=1,Concatenate("class ",'RHS INPUT'!C93),))</f>
        <v>class H_Cap_khaki_specops_UK</v>
      </c>
      <c r="D93" s="27" t="str">
        <f>if(ISBLANK(A93),,if('RHS INPUT'!D93=1,CONCATENATE("{quality = ",'RHS INPUT'!G93,"; price = ",Round('RHS INPUT'!M93),";};"),""))</f>
        <v>{quality = 1; price = 20;};</v>
      </c>
      <c r="E93" t="str">
        <f>IFERROR(__xludf.DUMMYFUNCTION("if(ISBLANK(A93),, if('RHS INPUT'!E93=1,CONCATENATE(CHAR(34),To_Text('RHS INPUT'!C93),CHAR(34),CHAR(44)),""""))"),"""H_Cap_khaki_specops_UK"",")</f>
        <v>"H_Cap_khaki_specops_UK",</v>
      </c>
      <c r="F93" s="28" t="str">
        <f>IF(isblank(A93) ,Concatenate("&gt; ",'RHS INPUT'!A93) , if('RHS INPUT'!F93=1,CONCATENATE(round('RHS INPUT'!N93),Char(44)," ",'RHS INPUT'!C93),""))</f>
        <v>83, H_Cap_khaki_specops_UK</v>
      </c>
    </row>
    <row r="94" ht="12.0" customHeight="1">
      <c r="A94" s="1" t="str">
        <f>IFERROR(__xludf.DUMMYFUNCTION("if(ISBLANK('RHS INPUT'!C94),,CONCATENATE(CHAR(34),To_Text('RHS INPUT'!C94),CHAR(34),CHAR(44)))"),"""H_Cap_oli"",")</f>
        <v>"H_Cap_oli",</v>
      </c>
      <c r="B94" s="18" t="str">
        <f>if(isblank('RHS INPUT'!A94),,CONCATENATE("/*  ",'RHS INPUT'!A94,"  */"))</f>
        <v/>
      </c>
      <c r="C94" s="22" t="str">
        <f>if(isblank(A94),,if('RHS INPUT'!D94=1,Concatenate("class ",'RHS INPUT'!C94),))</f>
        <v>class H_Cap_oli</v>
      </c>
      <c r="D94" s="27" t="str">
        <f>if(ISBLANK(A94),,if('RHS INPUT'!D94=1,CONCATENATE("{quality = ",'RHS INPUT'!G94,"; price = ",Round('RHS INPUT'!M94),";};"),""))</f>
        <v>{quality = 1; price = 20;};</v>
      </c>
      <c r="E94" t="str">
        <f>IFERROR(__xludf.DUMMYFUNCTION("if(ISBLANK(A94),, if('RHS INPUT'!E94=1,CONCATENATE(CHAR(34),To_Text('RHS INPUT'!C94),CHAR(34),CHAR(44)),""""))"),"""H_Cap_oli"",")</f>
        <v>"H_Cap_oli",</v>
      </c>
      <c r="F94" s="28" t="str">
        <f>IF(isblank(A94) ,Concatenate("&gt; ",'RHS INPUT'!A94) , if('RHS INPUT'!F94=1,CONCATENATE(round('RHS INPUT'!N94),Char(44)," ",'RHS INPUT'!C94),""))</f>
        <v>83, H_Cap_oli</v>
      </c>
    </row>
    <row r="95" ht="12.0" customHeight="1">
      <c r="A95" s="1" t="str">
        <f>IFERROR(__xludf.DUMMYFUNCTION("if(ISBLANK('RHS INPUT'!C95),,CONCATENATE(CHAR(34),To_Text('RHS INPUT'!C95),CHAR(34),CHAR(44)))"),"""H_Cap_press"",")</f>
        <v>"H_Cap_press",</v>
      </c>
      <c r="B95" s="18" t="str">
        <f>if(isblank('RHS INPUT'!A95),,CONCATENATE("/*  ",'RHS INPUT'!A95,"  */"))</f>
        <v/>
      </c>
      <c r="C95" s="22" t="str">
        <f>if(isblank(A95),,if('RHS INPUT'!D95=1,Concatenate("class ",'RHS INPUT'!C95),))</f>
        <v>class H_Cap_press</v>
      </c>
      <c r="D95" s="27" t="str">
        <f>if(ISBLANK(A95),,if('RHS INPUT'!D95=1,CONCATENATE("{quality = ",'RHS INPUT'!G95,"; price = ",Round('RHS INPUT'!M95),";};"),""))</f>
        <v>{quality = 1; price = 20;};</v>
      </c>
      <c r="E95" t="str">
        <f>IFERROR(__xludf.DUMMYFUNCTION("if(ISBLANK(A95),, if('RHS INPUT'!E95=1,CONCATENATE(CHAR(34),To_Text('RHS INPUT'!C95),CHAR(34),CHAR(44)),""""))"),"""H_Cap_press"",")</f>
        <v>"H_Cap_press",</v>
      </c>
      <c r="F95" s="28" t="str">
        <f>IF(isblank(A95) ,Concatenate("&gt; ",'RHS INPUT'!A95) , if('RHS INPUT'!F95=1,CONCATENATE(round('RHS INPUT'!N95),Char(44)," ",'RHS INPUT'!C95),""))</f>
        <v>83, H_Cap_press</v>
      </c>
    </row>
    <row r="96" ht="12.0" customHeight="1">
      <c r="A96" s="1" t="str">
        <f>IFERROR(__xludf.DUMMYFUNCTION("if(ISBLANK('RHS INPUT'!C96),,CONCATENATE(CHAR(34),To_Text('RHS INPUT'!C96),CHAR(34),CHAR(44)))"),"""H_Cap_red"",")</f>
        <v>"H_Cap_red",</v>
      </c>
      <c r="B96" s="18" t="str">
        <f>if(isblank('RHS INPUT'!A96),,CONCATENATE("/*  ",'RHS INPUT'!A96,"  */"))</f>
        <v/>
      </c>
      <c r="C96" s="22" t="str">
        <f>if(isblank(A96),,if('RHS INPUT'!D96=1,Concatenate("class ",'RHS INPUT'!C96),))</f>
        <v>class H_Cap_red</v>
      </c>
      <c r="D96" s="27" t="str">
        <f>if(ISBLANK(A96),,if('RHS INPUT'!D96=1,CONCATENATE("{quality = ",'RHS INPUT'!G96,"; price = ",Round('RHS INPUT'!M96),";};"),""))</f>
        <v>{quality = 1; price = 20;};</v>
      </c>
      <c r="E96" t="str">
        <f>IFERROR(__xludf.DUMMYFUNCTION("if(ISBLANK(A96),, if('RHS INPUT'!E96=1,CONCATENATE(CHAR(34),To_Text('RHS INPUT'!C96),CHAR(34),CHAR(44)),""""))"),"""H_Cap_red"",")</f>
        <v>"H_Cap_red",</v>
      </c>
      <c r="F96" s="28" t="str">
        <f>IF(isblank(A96) ,Concatenate("&gt; ",'RHS INPUT'!A96) , if('RHS INPUT'!F96=1,CONCATENATE(round('RHS INPUT'!N96),Char(44)," ",'RHS INPUT'!C96),""))</f>
        <v>83, H_Cap_red</v>
      </c>
    </row>
    <row r="97" ht="12.0" customHeight="1">
      <c r="A97" s="1" t="str">
        <f>IFERROR(__xludf.DUMMYFUNCTION("if(ISBLANK('RHS INPUT'!C97),,CONCATENATE(CHAR(34),To_Text('RHS INPUT'!C97),CHAR(34),CHAR(44)))"),"""H_Cap_tan"",")</f>
        <v>"H_Cap_tan",</v>
      </c>
      <c r="B97" s="18" t="str">
        <f>if(isblank('RHS INPUT'!A97),,CONCATENATE("/*  ",'RHS INPUT'!A97,"  */"))</f>
        <v/>
      </c>
      <c r="C97" s="22" t="str">
        <f>if(isblank(A97),,if('RHS INPUT'!D97=1,Concatenate("class ",'RHS INPUT'!C97),))</f>
        <v>class H_Cap_tan</v>
      </c>
      <c r="D97" s="27" t="str">
        <f>if(ISBLANK(A97),,if('RHS INPUT'!D97=1,CONCATENATE("{quality = ",'RHS INPUT'!G97,"; price = ",Round('RHS INPUT'!M97),";};"),""))</f>
        <v>{quality = 1; price = 20;};</v>
      </c>
      <c r="E97" t="str">
        <f>IFERROR(__xludf.DUMMYFUNCTION("if(ISBLANK(A97),, if('RHS INPUT'!E97=1,CONCATENATE(CHAR(34),To_Text('RHS INPUT'!C97),CHAR(34),CHAR(44)),""""))"),"""H_Cap_tan"",")</f>
        <v>"H_Cap_tan",</v>
      </c>
      <c r="F97" s="28" t="str">
        <f>IF(isblank(A97) ,Concatenate("&gt; ",'RHS INPUT'!A97) , if('RHS INPUT'!F97=1,CONCATENATE(round('RHS INPUT'!N97),Char(44)," ",'RHS INPUT'!C97),""))</f>
        <v>83, H_Cap_tan</v>
      </c>
    </row>
    <row r="98" ht="12.0" customHeight="1">
      <c r="A98" s="1" t="str">
        <f>IFERROR(__xludf.DUMMYFUNCTION("if(ISBLANK('RHS INPUT'!C98),,CONCATENATE(CHAR(34),To_Text('RHS INPUT'!C98),CHAR(34),CHAR(44)))"),"""H_Cap_tan_specops_US"",")</f>
        <v>"H_Cap_tan_specops_US",</v>
      </c>
      <c r="B98" s="18" t="str">
        <f>if(isblank('RHS INPUT'!A98),,CONCATENATE("/*  ",'RHS INPUT'!A98,"  */"))</f>
        <v/>
      </c>
      <c r="C98" s="22" t="str">
        <f>if(isblank(A98),,if('RHS INPUT'!D98=1,Concatenate("class ",'RHS INPUT'!C98),))</f>
        <v>class H_Cap_tan_specops_US</v>
      </c>
      <c r="D98" s="27" t="str">
        <f>if(ISBLANK(A98),,if('RHS INPUT'!D98=1,CONCATENATE("{quality = ",'RHS INPUT'!G98,"; price = ",Round('RHS INPUT'!M98),";};"),""))</f>
        <v>{quality = 1; price = 20;};</v>
      </c>
      <c r="E98" t="str">
        <f>IFERROR(__xludf.DUMMYFUNCTION("if(ISBLANK(A98),, if('RHS INPUT'!E98=1,CONCATENATE(CHAR(34),To_Text('RHS INPUT'!C98),CHAR(34),CHAR(44)),""""))"),"""H_Cap_tan_specops_US"",")</f>
        <v>"H_Cap_tan_specops_US",</v>
      </c>
      <c r="F98" s="28" t="str">
        <f>IF(isblank(A98) ,Concatenate("&gt; ",'RHS INPUT'!A98) , if('RHS INPUT'!F98=1,CONCATENATE(round('RHS INPUT'!N98),Char(44)," ",'RHS INPUT'!C98),""))</f>
        <v>83, H_Cap_tan_specops_US</v>
      </c>
    </row>
    <row r="99" ht="12.0" customHeight="1">
      <c r="A99" s="1" t="str">
        <f>IFERROR(__xludf.DUMMYFUNCTION("if(ISBLANK('RHS INPUT'!C99),,CONCATENATE(CHAR(34),To_Text('RHS INPUT'!C99),CHAR(34),CHAR(44)))"),"""H_MilCap_blue"",")</f>
        <v>"H_MilCap_blue",</v>
      </c>
      <c r="B99" s="18" t="str">
        <f>if(isblank('RHS INPUT'!A99),,CONCATENATE("/*  ",'RHS INPUT'!A99,"  */"))</f>
        <v/>
      </c>
      <c r="C99" s="22" t="str">
        <f>if(isblank(A99),,if('RHS INPUT'!D99=1,Concatenate("class ",'RHS INPUT'!C99),))</f>
        <v>class H_MilCap_blue</v>
      </c>
      <c r="D99" s="27" t="str">
        <f>if(ISBLANK(A99),,if('RHS INPUT'!D99=1,CONCATENATE("{quality = ",'RHS INPUT'!G99,"; price = ",Round('RHS INPUT'!M99),";};"),""))</f>
        <v>{quality = 1; price = 30;};</v>
      </c>
      <c r="E99" t="str">
        <f>IFERROR(__xludf.DUMMYFUNCTION("if(ISBLANK(A99),, if('RHS INPUT'!E99=1,CONCATENATE(CHAR(34),To_Text('RHS INPUT'!C99),CHAR(34),CHAR(44)),""""))"),"""H_MilCap_blue"",")</f>
        <v>"H_MilCap_blue",</v>
      </c>
      <c r="F99" s="28" t="str">
        <f>IF(isblank(A99) ,Concatenate("&gt; ",'RHS INPUT'!A99) , if('RHS INPUT'!F99=1,CONCATENATE(round('RHS INPUT'!N99),Char(44)," ",'RHS INPUT'!C99),""))</f>
        <v>77, H_MilCap_blue</v>
      </c>
    </row>
    <row r="100" ht="12.0" customHeight="1">
      <c r="A100" s="1" t="str">
        <f>IFERROR(__xludf.DUMMYFUNCTION("if(ISBLANK('RHS INPUT'!C100),,CONCATENATE(CHAR(34),To_Text('RHS INPUT'!C100),CHAR(34),CHAR(44)))"),"""H_MilCap_dgtl"",")</f>
        <v>"H_MilCap_dgtl",</v>
      </c>
      <c r="B100" s="18" t="str">
        <f>if(isblank('RHS INPUT'!A100),,CONCATENATE("/*  ",'RHS INPUT'!A100,"  */"))</f>
        <v/>
      </c>
      <c r="C100" s="22" t="str">
        <f>if(isblank(A100),,if('RHS INPUT'!D100=1,Concatenate("class ",'RHS INPUT'!C100),))</f>
        <v>class H_MilCap_dgtl</v>
      </c>
      <c r="D100" s="27" t="str">
        <f>if(ISBLANK(A100),,if('RHS INPUT'!D100=1,CONCATENATE("{quality = ",'RHS INPUT'!G100,"; price = ",Round('RHS INPUT'!M100),";};"),""))</f>
        <v>{quality = 1; price = 30;};</v>
      </c>
      <c r="E100" t="str">
        <f>IFERROR(__xludf.DUMMYFUNCTION("if(ISBLANK(A100),, if('RHS INPUT'!E100=1,CONCATENATE(CHAR(34),To_Text('RHS INPUT'!C100),CHAR(34),CHAR(44)),""""))"),"""H_MilCap_dgtl"",")</f>
        <v>"H_MilCap_dgtl",</v>
      </c>
      <c r="F100" s="28" t="str">
        <f>IF(isblank(A100) ,Concatenate("&gt; ",'RHS INPUT'!A100) , if('RHS INPUT'!F100=1,CONCATENATE(round('RHS INPUT'!N100),Char(44)," ",'RHS INPUT'!C100),""))</f>
        <v>77, H_MilCap_dgtl</v>
      </c>
    </row>
    <row r="101" ht="12.0" customHeight="1">
      <c r="A101" s="1" t="str">
        <f>IFERROR(__xludf.DUMMYFUNCTION("if(ISBLANK('RHS INPUT'!C101),,CONCATENATE(CHAR(34),To_Text('RHS INPUT'!C101),CHAR(34),CHAR(44)))"),"""H_MilCap_mcamo"",")</f>
        <v>"H_MilCap_mcamo",</v>
      </c>
      <c r="B101" s="18" t="str">
        <f>if(isblank('RHS INPUT'!A101),,CONCATENATE("/*  ",'RHS INPUT'!A101,"  */"))</f>
        <v/>
      </c>
      <c r="C101" s="22" t="str">
        <f>if(isblank(A101),,if('RHS INPUT'!D101=1,Concatenate("class ",'RHS INPUT'!C101),))</f>
        <v>class H_MilCap_mcamo</v>
      </c>
      <c r="D101" s="27" t="str">
        <f>if(ISBLANK(A101),,if('RHS INPUT'!D101=1,CONCATENATE("{quality = ",'RHS INPUT'!G101,"; price = ",Round('RHS INPUT'!M101),";};"),""))</f>
        <v>{quality = 1; price = 30;};</v>
      </c>
      <c r="E101" t="str">
        <f>IFERROR(__xludf.DUMMYFUNCTION("if(ISBLANK(A101),, if('RHS INPUT'!E101=1,CONCATENATE(CHAR(34),To_Text('RHS INPUT'!C101),CHAR(34),CHAR(44)),""""))"),"""H_MilCap_mcamo"",")</f>
        <v>"H_MilCap_mcamo",</v>
      </c>
      <c r="F101" s="28" t="str">
        <f>IF(isblank(A101) ,Concatenate("&gt; ",'RHS INPUT'!A101) , if('RHS INPUT'!F101=1,CONCATENATE(round('RHS INPUT'!N101),Char(44)," ",'RHS INPUT'!C101),""))</f>
        <v>77, H_MilCap_mcamo</v>
      </c>
    </row>
    <row r="102" ht="12.0" customHeight="1">
      <c r="A102" s="1" t="str">
        <f>IFERROR(__xludf.DUMMYFUNCTION("if(ISBLANK('RHS INPUT'!C102),,CONCATENATE(CHAR(34),To_Text('RHS INPUT'!C102),CHAR(34),CHAR(44)))"),"""H_MilCap_ocamo"",")</f>
        <v>"H_MilCap_ocamo",</v>
      </c>
      <c r="B102" s="18" t="str">
        <f>if(isblank('RHS INPUT'!A102),,CONCATENATE("/*  ",'RHS INPUT'!A102,"  */"))</f>
        <v/>
      </c>
      <c r="C102" s="22" t="str">
        <f>if(isblank(A102),,if('RHS INPUT'!D102=1,Concatenate("class ",'RHS INPUT'!C102),))</f>
        <v>class H_MilCap_ocamo</v>
      </c>
      <c r="D102" s="27" t="str">
        <f>if(ISBLANK(A102),,if('RHS INPUT'!D102=1,CONCATENATE("{quality = ",'RHS INPUT'!G102,"; price = ",Round('RHS INPUT'!M102),";};"),""))</f>
        <v>{quality = 1; price = 30;};</v>
      </c>
      <c r="E102" t="str">
        <f>IFERROR(__xludf.DUMMYFUNCTION("if(ISBLANK(A102),, if('RHS INPUT'!E102=1,CONCATENATE(CHAR(34),To_Text('RHS INPUT'!C102),CHAR(34),CHAR(44)),""""))"),"""H_MilCap_ocamo"",")</f>
        <v>"H_MilCap_ocamo",</v>
      </c>
      <c r="F102" s="28" t="str">
        <f>IF(isblank(A102) ,Concatenate("&gt; ",'RHS INPUT'!A102) , if('RHS INPUT'!F102=1,CONCATENATE(round('RHS INPUT'!N102),Char(44)," ",'RHS INPUT'!C102),""))</f>
        <v>77, H_MilCap_ocamo</v>
      </c>
    </row>
    <row r="103" ht="12.0" customHeight="1">
      <c r="A103" s="1" t="str">
        <f>IFERROR(__xludf.DUMMYFUNCTION("if(ISBLANK('RHS INPUT'!C103),,CONCATENATE(CHAR(34),To_Text('RHS INPUT'!C103),CHAR(34),CHAR(44)))"),"""H_MilCap_oucamo"",")</f>
        <v>"H_MilCap_oucamo",</v>
      </c>
      <c r="B103" s="18" t="str">
        <f>if(isblank('RHS INPUT'!A103),,CONCATENATE("/*  ",'RHS INPUT'!A103,"  */"))</f>
        <v/>
      </c>
      <c r="C103" s="22" t="str">
        <f>if(isblank(A103),,if('RHS INPUT'!D103=1,Concatenate("class ",'RHS INPUT'!C103),))</f>
        <v>class H_MilCap_oucamo</v>
      </c>
      <c r="D103" s="27" t="str">
        <f>if(ISBLANK(A103),,if('RHS INPUT'!D103=1,CONCATENATE("{quality = ",'RHS INPUT'!G103,"; price = ",Round('RHS INPUT'!M103),";};"),""))</f>
        <v>{quality = 1; price = 30;};</v>
      </c>
      <c r="E103" t="str">
        <f>IFERROR(__xludf.DUMMYFUNCTION("if(ISBLANK(A103),, if('RHS INPUT'!E103=1,CONCATENATE(CHAR(34),To_Text('RHS INPUT'!C103),CHAR(34),CHAR(44)),""""))"),"""H_MilCap_oucamo"",")</f>
        <v>"H_MilCap_oucamo",</v>
      </c>
      <c r="F103" s="28" t="str">
        <f>IF(isblank(A103) ,Concatenate("&gt; ",'RHS INPUT'!A103) , if('RHS INPUT'!F103=1,CONCATENATE(round('RHS INPUT'!N103),Char(44)," ",'RHS INPUT'!C103),""))</f>
        <v>77, H_MilCap_oucamo</v>
      </c>
    </row>
    <row r="104" ht="12.0" customHeight="1">
      <c r="A104" s="1" t="str">
        <f>IFERROR(__xludf.DUMMYFUNCTION("if(ISBLANK('RHS INPUT'!C104),,CONCATENATE(CHAR(34),To_Text('RHS INPUT'!C104),CHAR(34),CHAR(44)))"),"""H_MilCap_rucamo"",")</f>
        <v>"H_MilCap_rucamo",</v>
      </c>
      <c r="B104" s="18" t="str">
        <f>if(isblank('RHS INPUT'!A104),,CONCATENATE("/*  ",'RHS INPUT'!A104,"  */"))</f>
        <v/>
      </c>
      <c r="C104" s="22" t="str">
        <f>if(isblank(A104),,if('RHS INPUT'!D104=1,Concatenate("class ",'RHS INPUT'!C104),))</f>
        <v>class H_MilCap_rucamo</v>
      </c>
      <c r="D104" s="27" t="str">
        <f>if(ISBLANK(A104),,if('RHS INPUT'!D104=1,CONCATENATE("{quality = ",'RHS INPUT'!G104,"; price = ",Round('RHS INPUT'!M104),";};"),""))</f>
        <v>{quality = 1; price = 30;};</v>
      </c>
      <c r="E104" t="str">
        <f>IFERROR(__xludf.DUMMYFUNCTION("if(ISBLANK(A104),, if('RHS INPUT'!E104=1,CONCATENATE(CHAR(34),To_Text('RHS INPUT'!C104),CHAR(34),CHAR(44)),""""))"),"""H_MilCap_rucamo"",")</f>
        <v>"H_MilCap_rucamo",</v>
      </c>
      <c r="F104" s="28" t="str">
        <f>IF(isblank(A104) ,Concatenate("&gt; ",'RHS INPUT'!A104) , if('RHS INPUT'!F104=1,CONCATENATE(round('RHS INPUT'!N104),Char(44)," ",'RHS INPUT'!C104),""))</f>
        <v>77, H_MilCap_rucamo</v>
      </c>
    </row>
    <row r="105" ht="12.0" customHeight="1">
      <c r="A105" s="1" t="str">
        <f>IFERROR(__xludf.DUMMYFUNCTION("if(ISBLANK('RHS INPUT'!C105),,CONCATENATE(CHAR(34),To_Text('RHS INPUT'!C105),CHAR(34),CHAR(44)))"),"""H_Watchcap_blk"",")</f>
        <v>"H_Watchcap_blk",</v>
      </c>
      <c r="B105" s="18" t="str">
        <f>if(isblank('RHS INPUT'!A105),,CONCATENATE("/*  ",'RHS INPUT'!A105,"  */"))</f>
        <v/>
      </c>
      <c r="C105" s="22" t="str">
        <f>if(isblank(A105),,if('RHS INPUT'!D105=1,Concatenate("class ",'RHS INPUT'!C105),))</f>
        <v>class H_Watchcap_blk</v>
      </c>
      <c r="D105" s="27" t="str">
        <f>if(ISBLANK(A105),,if('RHS INPUT'!D105=1,CONCATENATE("{quality = ",'RHS INPUT'!G105,"; price = ",Round('RHS INPUT'!M105),";};"),""))</f>
        <v>{quality = 1; price = 30;};</v>
      </c>
      <c r="E105" t="str">
        <f>IFERROR(__xludf.DUMMYFUNCTION("if(ISBLANK(A105),, if('RHS INPUT'!E105=1,CONCATENATE(CHAR(34),To_Text('RHS INPUT'!C105),CHAR(34),CHAR(44)),""""))"),"""H_Watchcap_blk"",")</f>
        <v>"H_Watchcap_blk",</v>
      </c>
      <c r="F105" s="28" t="str">
        <f>IF(isblank(A105) ,Concatenate("&gt; ",'RHS INPUT'!A105) , if('RHS INPUT'!F105=1,CONCATENATE(round('RHS INPUT'!N105),Char(44)," ",'RHS INPUT'!C105),""))</f>
        <v>77, H_Watchcap_blk</v>
      </c>
    </row>
    <row r="106" ht="12.0" customHeight="1">
      <c r="A106" s="1" t="str">
        <f>IFERROR(__xludf.DUMMYFUNCTION("if(ISBLANK('RHS INPUT'!C106),,CONCATENATE(CHAR(34),To_Text('RHS INPUT'!C106),CHAR(34),CHAR(44)))"),"""H_Watchcap_camo"",")</f>
        <v>"H_Watchcap_camo",</v>
      </c>
      <c r="B106" s="18" t="str">
        <f>if(isblank('RHS INPUT'!A106),,CONCATENATE("/*  ",'RHS INPUT'!A106,"  */"))</f>
        <v/>
      </c>
      <c r="C106" s="22" t="str">
        <f>if(isblank(A106),,if('RHS INPUT'!D106=1,Concatenate("class ",'RHS INPUT'!C106),))</f>
        <v>class H_Watchcap_camo</v>
      </c>
      <c r="D106" s="27" t="str">
        <f>if(ISBLANK(A106),,if('RHS INPUT'!D106=1,CONCATENATE("{quality = ",'RHS INPUT'!G106,"; price = ",Round('RHS INPUT'!M106),";};"),""))</f>
        <v>{quality = 1; price = 30;};</v>
      </c>
      <c r="E106" t="str">
        <f>IFERROR(__xludf.DUMMYFUNCTION("if(ISBLANK(A106),, if('RHS INPUT'!E106=1,CONCATENATE(CHAR(34),To_Text('RHS INPUT'!C106),CHAR(34),CHAR(44)),""""))"),"""H_Watchcap_camo"",")</f>
        <v>"H_Watchcap_camo",</v>
      </c>
      <c r="F106" s="28" t="str">
        <f>IF(isblank(A106) ,Concatenate("&gt; ",'RHS INPUT'!A106) , if('RHS INPUT'!F106=1,CONCATENATE(round('RHS INPUT'!N106),Char(44)," ",'RHS INPUT'!C106),""))</f>
        <v>77, H_Watchcap_camo</v>
      </c>
    </row>
    <row r="107" ht="12.0" customHeight="1">
      <c r="A107" s="1" t="str">
        <f>IFERROR(__xludf.DUMMYFUNCTION("if(ISBLANK('RHS INPUT'!C107),,CONCATENATE(CHAR(34),To_Text('RHS INPUT'!C107),CHAR(34),CHAR(44)))"),"""H_Watchcap_khk"",")</f>
        <v>"H_Watchcap_khk",</v>
      </c>
      <c r="B107" s="18" t="str">
        <f>if(isblank('RHS INPUT'!A107),,CONCATENATE("/*  ",'RHS INPUT'!A107,"  */"))</f>
        <v/>
      </c>
      <c r="C107" s="22" t="str">
        <f>if(isblank(A107),,if('RHS INPUT'!D107=1,Concatenate("class ",'RHS INPUT'!C107),))</f>
        <v>class H_Watchcap_khk</v>
      </c>
      <c r="D107" s="27" t="str">
        <f>if(ISBLANK(A107),,if('RHS INPUT'!D107=1,CONCATENATE("{quality = ",'RHS INPUT'!G107,"; price = ",Round('RHS INPUT'!M107),";};"),""))</f>
        <v>{quality = 1; price = 30;};</v>
      </c>
      <c r="E107" t="str">
        <f>IFERROR(__xludf.DUMMYFUNCTION("if(ISBLANK(A107),, if('RHS INPUT'!E107=1,CONCATENATE(CHAR(34),To_Text('RHS INPUT'!C107),CHAR(34),CHAR(44)),""""))"),"""H_Watchcap_khk"",")</f>
        <v>"H_Watchcap_khk",</v>
      </c>
      <c r="F107" s="28" t="str">
        <f>IF(isblank(A107) ,Concatenate("&gt; ",'RHS INPUT'!A107) , if('RHS INPUT'!F107=1,CONCATENATE(round('RHS INPUT'!N107),Char(44)," ",'RHS INPUT'!C107),""))</f>
        <v>77, H_Watchcap_khk</v>
      </c>
    </row>
    <row r="108" ht="12.0" customHeight="1">
      <c r="A108" s="1" t="str">
        <f>IFERROR(__xludf.DUMMYFUNCTION("if(ISBLANK('RHS INPUT'!C108),,CONCATENATE(CHAR(34),To_Text('RHS INPUT'!C108),CHAR(34),CHAR(44)))"),"""H_Watchcap_sgg"",")</f>
        <v>"H_Watchcap_sgg",</v>
      </c>
      <c r="B108" s="18" t="str">
        <f>if(isblank('RHS INPUT'!A108),,CONCATENATE("/*  ",'RHS INPUT'!A108,"  */"))</f>
        <v/>
      </c>
      <c r="C108" s="22" t="str">
        <f>if(isblank(A108),,if('RHS INPUT'!D108=1,Concatenate("class ",'RHS INPUT'!C108),))</f>
        <v>class H_Watchcap_sgg</v>
      </c>
      <c r="D108" s="27" t="str">
        <f>if(ISBLANK(A108),,if('RHS INPUT'!D108=1,CONCATENATE("{quality = ",'RHS INPUT'!G108,"; price = ",Round('RHS INPUT'!M108),";};"),""))</f>
        <v>{quality = 1; price = 30;};</v>
      </c>
      <c r="E108" t="str">
        <f>IFERROR(__xludf.DUMMYFUNCTION("if(ISBLANK(A108),, if('RHS INPUT'!E108=1,CONCATENATE(CHAR(34),To_Text('RHS INPUT'!C108),CHAR(34),CHAR(44)),""""))"),"""H_Watchcap_sgg"",")</f>
        <v>"H_Watchcap_sgg",</v>
      </c>
      <c r="F108" s="28" t="str">
        <f>IF(isblank(A108) ,Concatenate("&gt; ",'RHS INPUT'!A108) , if('RHS INPUT'!F108=1,CONCATENATE(round('RHS INPUT'!N108),Char(44)," ",'RHS INPUT'!C108),""))</f>
        <v>77, H_Watchcap_sgg</v>
      </c>
    </row>
    <row r="109" ht="12.0" customHeight="1">
      <c r="A109" s="1" t="str">
        <f>IFERROR(__xludf.DUMMYFUNCTION("if(ISBLANK('RHS INPUT'!C109),,CONCATENATE(CHAR(34),To_Text('RHS INPUT'!C109),CHAR(34),CHAR(44)))"),"""H_Bandanna_camo"",")</f>
        <v>"H_Bandanna_camo",</v>
      </c>
      <c r="B109" s="18" t="str">
        <f>if(isblank('RHS INPUT'!A109),,CONCATENATE("/*  ",'RHS INPUT'!A109,"  */"))</f>
        <v/>
      </c>
      <c r="C109" s="22" t="str">
        <f>if(isblank(A109),,if('RHS INPUT'!D109=1,Concatenate("class ",'RHS INPUT'!C109),))</f>
        <v>class H_Bandanna_camo</v>
      </c>
      <c r="D109" s="27" t="str">
        <f>if(ISBLANK(A109),,if('RHS INPUT'!D109=1,CONCATENATE("{quality = ",'RHS INPUT'!G109,"; price = ",Round('RHS INPUT'!M109),";};"),""))</f>
        <v>{quality = 1; price = 10;};</v>
      </c>
      <c r="E109" t="str">
        <f>IFERROR(__xludf.DUMMYFUNCTION("if(ISBLANK(A109),, if('RHS INPUT'!E109=1,CONCATENATE(CHAR(34),To_Text('RHS INPUT'!C109),CHAR(34),CHAR(44)),""""))"),"""H_Bandanna_camo"",")</f>
        <v>"H_Bandanna_camo",</v>
      </c>
      <c r="F109" s="28" t="str">
        <f>IF(isblank(A109) ,Concatenate("&gt; ",'RHS INPUT'!A109) , if('RHS INPUT'!F109=1,CONCATENATE(round('RHS INPUT'!N109),Char(44)," ",'RHS INPUT'!C109),""))</f>
        <v>91, H_Bandanna_camo</v>
      </c>
    </row>
    <row r="110" ht="12.0" customHeight="1">
      <c r="A110" s="1" t="str">
        <f>IFERROR(__xludf.DUMMYFUNCTION("if(ISBLANK('RHS INPUT'!C110),,CONCATENATE(CHAR(34),To_Text('RHS INPUT'!C110),CHAR(34),CHAR(44)))"),"""H_Bandanna_cbr"",")</f>
        <v>"H_Bandanna_cbr",</v>
      </c>
      <c r="B110" s="18" t="str">
        <f>if(isblank('RHS INPUT'!A110),,CONCATENATE("/*  ",'RHS INPUT'!A110,"  */"))</f>
        <v/>
      </c>
      <c r="C110" s="22" t="str">
        <f>if(isblank(A110),,if('RHS INPUT'!D110=1,Concatenate("class ",'RHS INPUT'!C110),))</f>
        <v>class H_Bandanna_cbr</v>
      </c>
      <c r="D110" s="27" t="str">
        <f>if(ISBLANK(A110),,if('RHS INPUT'!D110=1,CONCATENATE("{quality = ",'RHS INPUT'!G110,"; price = ",Round('RHS INPUT'!M110),";};"),""))</f>
        <v>{quality = 1; price = 10;};</v>
      </c>
      <c r="E110" t="str">
        <f>IFERROR(__xludf.DUMMYFUNCTION("if(ISBLANK(A110),, if('RHS INPUT'!E110=1,CONCATENATE(CHAR(34),To_Text('RHS INPUT'!C110),CHAR(34),CHAR(44)),""""))"),"""H_Bandanna_cbr"",")</f>
        <v>"H_Bandanna_cbr",</v>
      </c>
      <c r="F110" s="28" t="str">
        <f>IF(isblank(A110) ,Concatenate("&gt; ",'RHS INPUT'!A110) , if('RHS INPUT'!F110=1,CONCATENATE(round('RHS INPUT'!N110),Char(44)," ",'RHS INPUT'!C110),""))</f>
        <v>91, H_Bandanna_cbr</v>
      </c>
    </row>
    <row r="111" ht="12.0" customHeight="1">
      <c r="A111" s="1" t="str">
        <f>IFERROR(__xludf.DUMMYFUNCTION("if(ISBLANK('RHS INPUT'!C111),,CONCATENATE(CHAR(34),To_Text('RHS INPUT'!C111),CHAR(34),CHAR(44)))"),"""H_Bandanna_gry"",")</f>
        <v>"H_Bandanna_gry",</v>
      </c>
      <c r="B111" s="18" t="str">
        <f>if(isblank('RHS INPUT'!A111),,CONCATENATE("/*  ",'RHS INPUT'!A111,"  */"))</f>
        <v/>
      </c>
      <c r="C111" s="22" t="str">
        <f>if(isblank(A111),,if('RHS INPUT'!D111=1,Concatenate("class ",'RHS INPUT'!C111),))</f>
        <v>class H_Bandanna_gry</v>
      </c>
      <c r="D111" s="27" t="str">
        <f>if(ISBLANK(A111),,if('RHS INPUT'!D111=1,CONCATENATE("{quality = ",'RHS INPUT'!G111,"; price = ",Round('RHS INPUT'!M111),";};"),""))</f>
        <v>{quality = 1; price = 10;};</v>
      </c>
      <c r="E111" t="str">
        <f>IFERROR(__xludf.DUMMYFUNCTION("if(ISBLANK(A111),, if('RHS INPUT'!E111=1,CONCATENATE(CHAR(34),To_Text('RHS INPUT'!C111),CHAR(34),CHAR(44)),""""))"),"""H_Bandanna_gry"",")</f>
        <v>"H_Bandanna_gry",</v>
      </c>
      <c r="F111" s="28" t="str">
        <f>IF(isblank(A111) ,Concatenate("&gt; ",'RHS INPUT'!A111) , if('RHS INPUT'!F111=1,CONCATENATE(round('RHS INPUT'!N111),Char(44)," ",'RHS INPUT'!C111),""))</f>
        <v>91, H_Bandanna_gry</v>
      </c>
    </row>
    <row r="112" ht="12.0" customHeight="1">
      <c r="A112" s="1" t="str">
        <f>IFERROR(__xludf.DUMMYFUNCTION("if(ISBLANK('RHS INPUT'!C112),,CONCATENATE(CHAR(34),To_Text('RHS INPUT'!C112),CHAR(34),CHAR(44)))"),"""H_Bandanna_khk"",")</f>
        <v>"H_Bandanna_khk",</v>
      </c>
      <c r="B112" s="18" t="str">
        <f>if(isblank('RHS INPUT'!A112),,CONCATENATE("/*  ",'RHS INPUT'!A112,"  */"))</f>
        <v/>
      </c>
      <c r="C112" s="22" t="str">
        <f>if(isblank(A112),,if('RHS INPUT'!D112=1,Concatenate("class ",'RHS INPUT'!C112),))</f>
        <v>class H_Bandanna_khk</v>
      </c>
      <c r="D112" s="27" t="str">
        <f>if(ISBLANK(A112),,if('RHS INPUT'!D112=1,CONCATENATE("{quality = ",'RHS INPUT'!G112,"; price = ",Round('RHS INPUT'!M112),";};"),""))</f>
        <v>{quality = 1; price = 10;};</v>
      </c>
      <c r="E112" t="str">
        <f>IFERROR(__xludf.DUMMYFUNCTION("if(ISBLANK(A112),, if('RHS INPUT'!E112=1,CONCATENATE(CHAR(34),To_Text('RHS INPUT'!C112),CHAR(34),CHAR(44)),""""))"),"""H_Bandanna_khk"",")</f>
        <v>"H_Bandanna_khk",</v>
      </c>
      <c r="F112" s="28" t="str">
        <f>IF(isblank(A112) ,Concatenate("&gt; ",'RHS INPUT'!A112) , if('RHS INPUT'!F112=1,CONCATENATE(round('RHS INPUT'!N112),Char(44)," ",'RHS INPUT'!C112),""))</f>
        <v>91, H_Bandanna_khk</v>
      </c>
    </row>
    <row r="113" ht="12.0" customHeight="1">
      <c r="A113" s="1" t="str">
        <f>IFERROR(__xludf.DUMMYFUNCTION("if(ISBLANK('RHS INPUT'!C113),,CONCATENATE(CHAR(34),To_Text('RHS INPUT'!C113),CHAR(34),CHAR(44)))"),"""H_Bandanna_khk_hs"",")</f>
        <v>"H_Bandanna_khk_hs",</v>
      </c>
      <c r="B113" s="18" t="str">
        <f>if(isblank('RHS INPUT'!A113),,CONCATENATE("/*  ",'RHS INPUT'!A113,"  */"))</f>
        <v/>
      </c>
      <c r="C113" s="22" t="str">
        <f>if(isblank(A113),,if('RHS INPUT'!D113=1,Concatenate("class ",'RHS INPUT'!C113),))</f>
        <v>class H_Bandanna_khk_hs</v>
      </c>
      <c r="D113" s="27" t="str">
        <f>if(ISBLANK(A113),,if('RHS INPUT'!D113=1,CONCATENATE("{quality = ",'RHS INPUT'!G113,"; price = ",Round('RHS INPUT'!M113),";};"),""))</f>
        <v>{quality = 1; price = 10;};</v>
      </c>
      <c r="E113" t="str">
        <f>IFERROR(__xludf.DUMMYFUNCTION("if(ISBLANK(A113),, if('RHS INPUT'!E113=1,CONCATENATE(CHAR(34),To_Text('RHS INPUT'!C113),CHAR(34),CHAR(44)),""""))"),"""H_Bandanna_khk_hs"",")</f>
        <v>"H_Bandanna_khk_hs",</v>
      </c>
      <c r="F113" s="28" t="str">
        <f>IF(isblank(A113) ,Concatenate("&gt; ",'RHS INPUT'!A113) , if('RHS INPUT'!F113=1,CONCATENATE(round('RHS INPUT'!N113),Char(44)," ",'RHS INPUT'!C113),""))</f>
        <v>91, H_Bandanna_khk_hs</v>
      </c>
    </row>
    <row r="114" ht="12.0" customHeight="1">
      <c r="A114" s="1" t="str">
        <f>IFERROR(__xludf.DUMMYFUNCTION("if(ISBLANK('RHS INPUT'!C114),,CONCATENATE(CHAR(34),To_Text('RHS INPUT'!C114),CHAR(34),CHAR(44)))"),"""H_Bandanna_mcamo"",")</f>
        <v>"H_Bandanna_mcamo",</v>
      </c>
      <c r="B114" s="18" t="str">
        <f>if(isblank('RHS INPUT'!A114),,CONCATENATE("/*  ",'RHS INPUT'!A114,"  */"))</f>
        <v/>
      </c>
      <c r="C114" s="22" t="str">
        <f>if(isblank(A114),,if('RHS INPUT'!D114=1,Concatenate("class ",'RHS INPUT'!C114),))</f>
        <v>class H_Bandanna_mcamo</v>
      </c>
      <c r="D114" s="27" t="str">
        <f>if(ISBLANK(A114),,if('RHS INPUT'!D114=1,CONCATENATE("{quality = ",'RHS INPUT'!G114,"; price = ",Round('RHS INPUT'!M114),";};"),""))</f>
        <v>{quality = 1; price = 10;};</v>
      </c>
      <c r="E114" t="str">
        <f>IFERROR(__xludf.DUMMYFUNCTION("if(ISBLANK(A114),, if('RHS INPUT'!E114=1,CONCATENATE(CHAR(34),To_Text('RHS INPUT'!C114),CHAR(34),CHAR(44)),""""))"),"""H_Bandanna_mcamo"",")</f>
        <v>"H_Bandanna_mcamo",</v>
      </c>
      <c r="F114" s="28" t="str">
        <f>IF(isblank(A114) ,Concatenate("&gt; ",'RHS INPUT'!A114) , if('RHS INPUT'!F114=1,CONCATENATE(round('RHS INPUT'!N114),Char(44)," ",'RHS INPUT'!C114),""))</f>
        <v>91, H_Bandanna_mcamo</v>
      </c>
    </row>
    <row r="115" ht="12.0" customHeight="1">
      <c r="A115" s="1" t="str">
        <f>IFERROR(__xludf.DUMMYFUNCTION("if(ISBLANK('RHS INPUT'!C115),,CONCATENATE(CHAR(34),To_Text('RHS INPUT'!C115),CHAR(34),CHAR(44)))"),"""H_Bandanna_sgg"",")</f>
        <v>"H_Bandanna_sgg",</v>
      </c>
      <c r="B115" s="18" t="str">
        <f>if(isblank('RHS INPUT'!A115),,CONCATENATE("/*  ",'RHS INPUT'!A115,"  */"))</f>
        <v/>
      </c>
      <c r="C115" s="22" t="str">
        <f>if(isblank(A115),,if('RHS INPUT'!D115=1,Concatenate("class ",'RHS INPUT'!C115),))</f>
        <v>class H_Bandanna_sgg</v>
      </c>
      <c r="D115" s="27" t="str">
        <f>if(ISBLANK(A115),,if('RHS INPUT'!D115=1,CONCATENATE("{quality = ",'RHS INPUT'!G115,"; price = ",Round('RHS INPUT'!M115),";};"),""))</f>
        <v>{quality = 1; price = 10;};</v>
      </c>
      <c r="E115" t="str">
        <f>IFERROR(__xludf.DUMMYFUNCTION("if(ISBLANK(A115),, if('RHS INPUT'!E115=1,CONCATENATE(CHAR(34),To_Text('RHS INPUT'!C115),CHAR(34),CHAR(44)),""""))"),"""H_Bandanna_sgg"",")</f>
        <v>"H_Bandanna_sgg",</v>
      </c>
      <c r="F115" s="28" t="str">
        <f>IF(isblank(A115) ,Concatenate("&gt; ",'RHS INPUT'!A115) , if('RHS INPUT'!F115=1,CONCATENATE(round('RHS INPUT'!N115),Char(44)," ",'RHS INPUT'!C115),""))</f>
        <v>91, H_Bandanna_sgg</v>
      </c>
    </row>
    <row r="116" ht="12.0" customHeight="1">
      <c r="A116" s="1" t="str">
        <f>IFERROR(__xludf.DUMMYFUNCTION("if(ISBLANK('RHS INPUT'!C116),,CONCATENATE(CHAR(34),To_Text('RHS INPUT'!C116),CHAR(34),CHAR(44)))"),"""H_Bandanna_surfer"",")</f>
        <v>"H_Bandanna_surfer",</v>
      </c>
      <c r="B116" s="18" t="str">
        <f>if(isblank('RHS INPUT'!A116),,CONCATENATE("/*  ",'RHS INPUT'!A116,"  */"))</f>
        <v/>
      </c>
      <c r="C116" s="22" t="str">
        <f>if(isblank(A116),,if('RHS INPUT'!D116=1,Concatenate("class ",'RHS INPUT'!C116),))</f>
        <v>class H_Bandanna_surfer</v>
      </c>
      <c r="D116" s="27" t="str">
        <f>if(ISBLANK(A116),,if('RHS INPUT'!D116=1,CONCATENATE("{quality = ",'RHS INPUT'!G116,"; price = ",Round('RHS INPUT'!M116),";};"),""))</f>
        <v>{quality = 1; price = 10;};</v>
      </c>
      <c r="E116" t="str">
        <f>IFERROR(__xludf.DUMMYFUNCTION("if(ISBLANK(A116),, if('RHS INPUT'!E116=1,CONCATENATE(CHAR(34),To_Text('RHS INPUT'!C116),CHAR(34),CHAR(44)),""""))"),"""H_Bandanna_surfer"",")</f>
        <v>"H_Bandanna_surfer",</v>
      </c>
      <c r="F116" s="28" t="str">
        <f>IF(isblank(A116) ,Concatenate("&gt; ",'RHS INPUT'!A116) , if('RHS INPUT'!F116=1,CONCATENATE(round('RHS INPUT'!N116),Char(44)," ",'RHS INPUT'!C116),""))</f>
        <v>91, H_Bandanna_surfer</v>
      </c>
    </row>
    <row r="117" ht="12.0" customHeight="1">
      <c r="A117" s="1" t="str">
        <f>IFERROR(__xludf.DUMMYFUNCTION("if(ISBLANK('RHS INPUT'!C117),,CONCATENATE(CHAR(34),To_Text('RHS INPUT'!C117),CHAR(34),CHAR(44)))"),"""H_Booniehat_dgtl"",")</f>
        <v>"H_Booniehat_dgtl",</v>
      </c>
      <c r="B117" s="18" t="str">
        <f>if(isblank('RHS INPUT'!A117),,CONCATENATE("/*  ",'RHS INPUT'!A117,"  */"))</f>
        <v/>
      </c>
      <c r="C117" s="22" t="str">
        <f>if(isblank(A117),,if('RHS INPUT'!D117=1,Concatenate("class ",'RHS INPUT'!C117),))</f>
        <v>class H_Booniehat_dgtl</v>
      </c>
      <c r="D117" s="27" t="str">
        <f>if(ISBLANK(A117),,if('RHS INPUT'!D117=1,CONCATENATE("{quality = ",'RHS INPUT'!G117,"; price = ",Round('RHS INPUT'!M117),";};"),""))</f>
        <v>{quality = 1; price = 30;};</v>
      </c>
      <c r="E117" t="str">
        <f>IFERROR(__xludf.DUMMYFUNCTION("if(ISBLANK(A117),, if('RHS INPUT'!E117=1,CONCATENATE(CHAR(34),To_Text('RHS INPUT'!C117),CHAR(34),CHAR(44)),""""))"),"""H_Booniehat_dgtl"",")</f>
        <v>"H_Booniehat_dgtl",</v>
      </c>
      <c r="F117" s="28" t="str">
        <f>IF(isblank(A117) ,Concatenate("&gt; ",'RHS INPUT'!A117) , if('RHS INPUT'!F117=1,CONCATENATE(round('RHS INPUT'!N117),Char(44)," ",'RHS INPUT'!C117),""))</f>
        <v>77, H_Booniehat_dgtl</v>
      </c>
    </row>
    <row r="118" ht="12.0" customHeight="1">
      <c r="A118" s="1" t="str">
        <f>IFERROR(__xludf.DUMMYFUNCTION("if(ISBLANK('RHS INPUT'!C118),,CONCATENATE(CHAR(34),To_Text('RHS INPUT'!C118),CHAR(34),CHAR(44)))"),"""H_Booniehat_dirty"",")</f>
        <v>"H_Booniehat_dirty",</v>
      </c>
      <c r="B118" s="18" t="str">
        <f>if(isblank('RHS INPUT'!A118),,CONCATENATE("/*  ",'RHS INPUT'!A118,"  */"))</f>
        <v/>
      </c>
      <c r="C118" s="22" t="str">
        <f>if(isblank(A118),,if('RHS INPUT'!D118=1,Concatenate("class ",'RHS INPUT'!C118),))</f>
        <v>class H_Booniehat_dirty</v>
      </c>
      <c r="D118" s="27" t="str">
        <f>if(ISBLANK(A118),,if('RHS INPUT'!D118=1,CONCATENATE("{quality = ",'RHS INPUT'!G118,"; price = ",Round('RHS INPUT'!M118),";};"),""))</f>
        <v>{quality = 1; price = 30;};</v>
      </c>
      <c r="E118" t="str">
        <f>IFERROR(__xludf.DUMMYFUNCTION("if(ISBLANK(A118),, if('RHS INPUT'!E118=1,CONCATENATE(CHAR(34),To_Text('RHS INPUT'!C118),CHAR(34),CHAR(44)),""""))"),"""H_Booniehat_dirty"",")</f>
        <v>"H_Booniehat_dirty",</v>
      </c>
      <c r="F118" s="28" t="str">
        <f>IF(isblank(A118) ,Concatenate("&gt; ",'RHS INPUT'!A118) , if('RHS INPUT'!F118=1,CONCATENATE(round('RHS INPUT'!N118),Char(44)," ",'RHS INPUT'!C118),""))</f>
        <v>77, H_Booniehat_dirty</v>
      </c>
    </row>
    <row r="119" ht="12.0" customHeight="1">
      <c r="A119" s="1" t="str">
        <f>IFERROR(__xludf.DUMMYFUNCTION("if(ISBLANK('RHS INPUT'!C119),,CONCATENATE(CHAR(34),To_Text('RHS INPUT'!C119),CHAR(34),CHAR(44)))"),"""H_Booniehat_grn"",")</f>
        <v>"H_Booniehat_grn",</v>
      </c>
      <c r="B119" s="18" t="str">
        <f>if(isblank('RHS INPUT'!A119),,CONCATENATE("/*  ",'RHS INPUT'!A119,"  */"))</f>
        <v/>
      </c>
      <c r="C119" s="22" t="str">
        <f>if(isblank(A119),,if('RHS INPUT'!D119=1,Concatenate("class ",'RHS INPUT'!C119),))</f>
        <v>class H_Booniehat_grn</v>
      </c>
      <c r="D119" s="27" t="str">
        <f>if(ISBLANK(A119),,if('RHS INPUT'!D119=1,CONCATENATE("{quality = ",'RHS INPUT'!G119,"; price = ",Round('RHS INPUT'!M119),";};"),""))</f>
        <v>{quality = 1; price = 30;};</v>
      </c>
      <c r="E119" t="str">
        <f>IFERROR(__xludf.DUMMYFUNCTION("if(ISBLANK(A119),, if('RHS INPUT'!E119=1,CONCATENATE(CHAR(34),To_Text('RHS INPUT'!C119),CHAR(34),CHAR(44)),""""))"),"""H_Booniehat_grn"",")</f>
        <v>"H_Booniehat_grn",</v>
      </c>
      <c r="F119" s="28" t="str">
        <f>IF(isblank(A119) ,Concatenate("&gt; ",'RHS INPUT'!A119) , if('RHS INPUT'!F119=1,CONCATENATE(round('RHS INPUT'!N119),Char(44)," ",'RHS INPUT'!C119),""))</f>
        <v>77, H_Booniehat_grn</v>
      </c>
    </row>
    <row r="120" ht="12.0" customHeight="1">
      <c r="A120" s="1" t="str">
        <f>IFERROR(__xludf.DUMMYFUNCTION("if(ISBLANK('RHS INPUT'!C120),,CONCATENATE(CHAR(34),To_Text('RHS INPUT'!C120),CHAR(34),CHAR(44)))"),"""H_Booniehat_indp"",")</f>
        <v>"H_Booniehat_indp",</v>
      </c>
      <c r="B120" s="18" t="str">
        <f>if(isblank('RHS INPUT'!A120),,CONCATENATE("/*  ",'RHS INPUT'!A120,"  */"))</f>
        <v/>
      </c>
      <c r="C120" s="22" t="str">
        <f>if(isblank(A120),,if('RHS INPUT'!D120=1,Concatenate("class ",'RHS INPUT'!C120),))</f>
        <v>class H_Booniehat_indp</v>
      </c>
      <c r="D120" s="27" t="str">
        <f>if(ISBLANK(A120),,if('RHS INPUT'!D120=1,CONCATENATE("{quality = ",'RHS INPUT'!G120,"; price = ",Round('RHS INPUT'!M120),";};"),""))</f>
        <v>{quality = 1; price = 30;};</v>
      </c>
      <c r="E120" t="str">
        <f>IFERROR(__xludf.DUMMYFUNCTION("if(ISBLANK(A120),, if('RHS INPUT'!E120=1,CONCATENATE(CHAR(34),To_Text('RHS INPUT'!C120),CHAR(34),CHAR(44)),""""))"),"""H_Booniehat_indp"",")</f>
        <v>"H_Booniehat_indp",</v>
      </c>
      <c r="F120" s="28" t="str">
        <f>IF(isblank(A120) ,Concatenate("&gt; ",'RHS INPUT'!A120) , if('RHS INPUT'!F120=1,CONCATENATE(round('RHS INPUT'!N120),Char(44)," ",'RHS INPUT'!C120),""))</f>
        <v>77, H_Booniehat_indp</v>
      </c>
    </row>
    <row r="121" ht="12.0" customHeight="1">
      <c r="A121" s="1" t="str">
        <f>IFERROR(__xludf.DUMMYFUNCTION("if(ISBLANK('RHS INPUT'!C121),,CONCATENATE(CHAR(34),To_Text('RHS INPUT'!C121),CHAR(34),CHAR(44)))"),"""H_Booniehat_khk"",")</f>
        <v>"H_Booniehat_khk",</v>
      </c>
      <c r="B121" s="18" t="str">
        <f>if(isblank('RHS INPUT'!A121),,CONCATENATE("/*  ",'RHS INPUT'!A121,"  */"))</f>
        <v/>
      </c>
      <c r="C121" s="22" t="str">
        <f>if(isblank(A121),,if('RHS INPUT'!D121=1,Concatenate("class ",'RHS INPUT'!C121),))</f>
        <v>class H_Booniehat_khk</v>
      </c>
      <c r="D121" s="27" t="str">
        <f>if(ISBLANK(A121),,if('RHS INPUT'!D121=1,CONCATENATE("{quality = ",'RHS INPUT'!G121,"; price = ",Round('RHS INPUT'!M121),";};"),""))</f>
        <v>{quality = 1; price = 30;};</v>
      </c>
      <c r="E121" t="str">
        <f>IFERROR(__xludf.DUMMYFUNCTION("if(ISBLANK(A121),, if('RHS INPUT'!E121=1,CONCATENATE(CHAR(34),To_Text('RHS INPUT'!C121),CHAR(34),CHAR(44)),""""))"),"""H_Booniehat_khk"",")</f>
        <v>"H_Booniehat_khk",</v>
      </c>
      <c r="F121" s="28" t="str">
        <f>IF(isblank(A121) ,Concatenate("&gt; ",'RHS INPUT'!A121) , if('RHS INPUT'!F121=1,CONCATENATE(round('RHS INPUT'!N121),Char(44)," ",'RHS INPUT'!C121),""))</f>
        <v>77, H_Booniehat_khk</v>
      </c>
    </row>
    <row r="122" ht="12.0" customHeight="1">
      <c r="A122" s="1" t="str">
        <f>IFERROR(__xludf.DUMMYFUNCTION("if(ISBLANK('RHS INPUT'!C122),,CONCATENATE(CHAR(34),To_Text('RHS INPUT'!C122),CHAR(34),CHAR(44)))"),"""H_Booniehat_khk_hs"",")</f>
        <v>"H_Booniehat_khk_hs",</v>
      </c>
      <c r="B122" s="18" t="str">
        <f>if(isblank('RHS INPUT'!A122),,CONCATENATE("/*  ",'RHS INPUT'!A122,"  */"))</f>
        <v/>
      </c>
      <c r="C122" s="22" t="str">
        <f>if(isblank(A122),,if('RHS INPUT'!D122=1,Concatenate("class ",'RHS INPUT'!C122),))</f>
        <v>class H_Booniehat_khk_hs</v>
      </c>
      <c r="D122" s="27" t="str">
        <f>if(ISBLANK(A122),,if('RHS INPUT'!D122=1,CONCATENATE("{quality = ",'RHS INPUT'!G122,"; price = ",Round('RHS INPUT'!M122),";};"),""))</f>
        <v>{quality = 1; price = 30;};</v>
      </c>
      <c r="E122" t="str">
        <f>IFERROR(__xludf.DUMMYFUNCTION("if(ISBLANK(A122),, if('RHS INPUT'!E122=1,CONCATENATE(CHAR(34),To_Text('RHS INPUT'!C122),CHAR(34),CHAR(44)),""""))"),"""H_Booniehat_khk_hs"",")</f>
        <v>"H_Booniehat_khk_hs",</v>
      </c>
      <c r="F122" s="28" t="str">
        <f>IF(isblank(A122) ,Concatenate("&gt; ",'RHS INPUT'!A122) , if('RHS INPUT'!F122=1,CONCATENATE(round('RHS INPUT'!N122),Char(44)," ",'RHS INPUT'!C122),""))</f>
        <v>77, H_Booniehat_khk_hs</v>
      </c>
    </row>
    <row r="123" ht="12.0" customHeight="1">
      <c r="A123" s="1" t="str">
        <f>IFERROR(__xludf.DUMMYFUNCTION("if(ISBLANK('RHS INPUT'!C123),,CONCATENATE(CHAR(34),To_Text('RHS INPUT'!C123),CHAR(34),CHAR(44)))"),"""H_Booniehat_mcamo"",")</f>
        <v>"H_Booniehat_mcamo",</v>
      </c>
      <c r="B123" s="18" t="str">
        <f>if(isblank('RHS INPUT'!A123),,CONCATENATE("/*  ",'RHS INPUT'!A123,"  */"))</f>
        <v/>
      </c>
      <c r="C123" s="22" t="str">
        <f>if(isblank(A123),,if('RHS INPUT'!D123=1,Concatenate("class ",'RHS INPUT'!C123),))</f>
        <v>class H_Booniehat_mcamo</v>
      </c>
      <c r="D123" s="27" t="str">
        <f>if(ISBLANK(A123),,if('RHS INPUT'!D123=1,CONCATENATE("{quality = ",'RHS INPUT'!G123,"; price = ",Round('RHS INPUT'!M123),";};"),""))</f>
        <v>{quality = 1; price = 30;};</v>
      </c>
      <c r="E123" t="str">
        <f>IFERROR(__xludf.DUMMYFUNCTION("if(ISBLANK(A123),, if('RHS INPUT'!E123=1,CONCATENATE(CHAR(34),To_Text('RHS INPUT'!C123),CHAR(34),CHAR(44)),""""))"),"""H_Booniehat_mcamo"",")</f>
        <v>"H_Booniehat_mcamo",</v>
      </c>
      <c r="F123" s="28" t="str">
        <f>IF(isblank(A123) ,Concatenate("&gt; ",'RHS INPUT'!A123) , if('RHS INPUT'!F123=1,CONCATENATE(round('RHS INPUT'!N123),Char(44)," ",'RHS INPUT'!C123),""))</f>
        <v>77, H_Booniehat_mcamo</v>
      </c>
    </row>
    <row r="124" ht="12.0" customHeight="1">
      <c r="A124" s="1" t="str">
        <f>IFERROR(__xludf.DUMMYFUNCTION("if(ISBLANK('RHS INPUT'!C124),,CONCATENATE(CHAR(34),To_Text('RHS INPUT'!C124),CHAR(34),CHAR(44)))"),"""H_Booniehat_tan"",")</f>
        <v>"H_Booniehat_tan",</v>
      </c>
      <c r="B124" s="18" t="str">
        <f>if(isblank('RHS INPUT'!A124),,CONCATENATE("/*  ",'RHS INPUT'!A124,"  */"))</f>
        <v/>
      </c>
      <c r="C124" s="22" t="str">
        <f>if(isblank(A124),,if('RHS INPUT'!D124=1,Concatenate("class ",'RHS INPUT'!C124),))</f>
        <v>class H_Booniehat_tan</v>
      </c>
      <c r="D124" s="27" t="str">
        <f>if(ISBLANK(A124),,if('RHS INPUT'!D124=1,CONCATENATE("{quality = ",'RHS INPUT'!G124,"; price = ",Round('RHS INPUT'!M124),";};"),""))</f>
        <v>{quality = 1; price = 30;};</v>
      </c>
      <c r="E124" t="str">
        <f>IFERROR(__xludf.DUMMYFUNCTION("if(ISBLANK(A124),, if('RHS INPUT'!E124=1,CONCATENATE(CHAR(34),To_Text('RHS INPUT'!C124),CHAR(34),CHAR(44)),""""))"),"""H_Booniehat_tan"",")</f>
        <v>"H_Booniehat_tan",</v>
      </c>
      <c r="F124" s="28" t="str">
        <f>IF(isblank(A124) ,Concatenate("&gt; ",'RHS INPUT'!A124) , if('RHS INPUT'!F124=1,CONCATENATE(round('RHS INPUT'!N124),Char(44)," ",'RHS INPUT'!C124),""))</f>
        <v>77, H_Booniehat_tan</v>
      </c>
    </row>
    <row r="125" ht="12.0" customHeight="1">
      <c r="A125" s="1" t="str">
        <f>IFERROR(__xludf.DUMMYFUNCTION("if(ISBLANK('RHS INPUT'!C125),,CONCATENATE(CHAR(34),To_Text('RHS INPUT'!C125),CHAR(34),CHAR(44)))"),"""H_Hat_blue"",")</f>
        <v>"H_Hat_blue",</v>
      </c>
      <c r="B125" s="18" t="str">
        <f>if(isblank('RHS INPUT'!A125),,CONCATENATE("/*  ",'RHS INPUT'!A125,"  */"))</f>
        <v/>
      </c>
      <c r="C125" s="22" t="str">
        <f>if(isblank(A125),,if('RHS INPUT'!D125=1,Concatenate("class ",'RHS INPUT'!C125),))</f>
        <v>class H_Hat_blue</v>
      </c>
      <c r="D125" s="27" t="str">
        <f>if(ISBLANK(A125),,if('RHS INPUT'!D125=1,CONCATENATE("{quality = ",'RHS INPUT'!G125,"; price = ",Round('RHS INPUT'!M125),";};"),""))</f>
        <v>{quality = 1; price = 20;};</v>
      </c>
      <c r="E125" t="str">
        <f>IFERROR(__xludf.DUMMYFUNCTION("if(ISBLANK(A125),, if('RHS INPUT'!E125=1,CONCATENATE(CHAR(34),To_Text('RHS INPUT'!C125),CHAR(34),CHAR(44)),""""))"),"""H_Hat_blue"",")</f>
        <v>"H_Hat_blue",</v>
      </c>
      <c r="F125" s="28" t="str">
        <f>IF(isblank(A125) ,Concatenate("&gt; ",'RHS INPUT'!A125) , if('RHS INPUT'!F125=1,CONCATENATE(round('RHS INPUT'!N125),Char(44)," ",'RHS INPUT'!C125),""))</f>
        <v>83, H_Hat_blue</v>
      </c>
    </row>
    <row r="126" ht="12.0" customHeight="1">
      <c r="A126" s="1" t="str">
        <f>IFERROR(__xludf.DUMMYFUNCTION("if(ISBLANK('RHS INPUT'!C126),,CONCATENATE(CHAR(34),To_Text('RHS INPUT'!C126),CHAR(34),CHAR(44)))"),"""H_Hat_brown"",")</f>
        <v>"H_Hat_brown",</v>
      </c>
      <c r="B126" s="18" t="str">
        <f>if(isblank('RHS INPUT'!A126),,CONCATENATE("/*  ",'RHS INPUT'!A126,"  */"))</f>
        <v/>
      </c>
      <c r="C126" s="22" t="str">
        <f>if(isblank(A126),,if('RHS INPUT'!D126=1,Concatenate("class ",'RHS INPUT'!C126),))</f>
        <v>class H_Hat_brown</v>
      </c>
      <c r="D126" s="27" t="str">
        <f>if(ISBLANK(A126),,if('RHS INPUT'!D126=1,CONCATENATE("{quality = ",'RHS INPUT'!G126,"; price = ",Round('RHS INPUT'!M126),";};"),""))</f>
        <v>{quality = 1; price = 20;};</v>
      </c>
      <c r="E126" t="str">
        <f>IFERROR(__xludf.DUMMYFUNCTION("if(ISBLANK(A126),, if('RHS INPUT'!E126=1,CONCATENATE(CHAR(34),To_Text('RHS INPUT'!C126),CHAR(34),CHAR(44)),""""))"),"""H_Hat_brown"",")</f>
        <v>"H_Hat_brown",</v>
      </c>
      <c r="F126" s="28" t="str">
        <f>IF(isblank(A126) ,Concatenate("&gt; ",'RHS INPUT'!A126) , if('RHS INPUT'!F126=1,CONCATENATE(round('RHS INPUT'!N126),Char(44)," ",'RHS INPUT'!C126),""))</f>
        <v>83, H_Hat_brown</v>
      </c>
    </row>
    <row r="127" ht="12.0" customHeight="1">
      <c r="A127" s="1" t="str">
        <f>IFERROR(__xludf.DUMMYFUNCTION("if(ISBLANK('RHS INPUT'!C127),,CONCATENATE(CHAR(34),To_Text('RHS INPUT'!C127),CHAR(34),CHAR(44)))"),"""H_Hat_camo"",")</f>
        <v>"H_Hat_camo",</v>
      </c>
      <c r="B127" s="18" t="str">
        <f>if(isblank('RHS INPUT'!A127),,CONCATENATE("/*  ",'RHS INPUT'!A127,"  */"))</f>
        <v/>
      </c>
      <c r="C127" s="22" t="str">
        <f>if(isblank(A127),,if('RHS INPUT'!D127=1,Concatenate("class ",'RHS INPUT'!C127),))</f>
        <v>class H_Hat_camo</v>
      </c>
      <c r="D127" s="27" t="str">
        <f>if(ISBLANK(A127),,if('RHS INPUT'!D127=1,CONCATENATE("{quality = ",'RHS INPUT'!G127,"; price = ",Round('RHS INPUT'!M127),";};"),""))</f>
        <v>{quality = 1; price = 20;};</v>
      </c>
      <c r="E127" t="str">
        <f>IFERROR(__xludf.DUMMYFUNCTION("if(ISBLANK(A127),, if('RHS INPUT'!E127=1,CONCATENATE(CHAR(34),To_Text('RHS INPUT'!C127),CHAR(34),CHAR(44)),""""))"),"""H_Hat_camo"",")</f>
        <v>"H_Hat_camo",</v>
      </c>
      <c r="F127" s="28" t="str">
        <f>IF(isblank(A127) ,Concatenate("&gt; ",'RHS INPUT'!A127) , if('RHS INPUT'!F127=1,CONCATENATE(round('RHS INPUT'!N127),Char(44)," ",'RHS INPUT'!C127),""))</f>
        <v>83, H_Hat_camo</v>
      </c>
    </row>
    <row r="128" ht="12.0" customHeight="1">
      <c r="A128" s="1" t="str">
        <f>IFERROR(__xludf.DUMMYFUNCTION("if(ISBLANK('RHS INPUT'!C128),,CONCATENATE(CHAR(34),To_Text('RHS INPUT'!C128),CHAR(34),CHAR(44)))"),"""H_Hat_checker"",")</f>
        <v>"H_Hat_checker",</v>
      </c>
      <c r="B128" s="18" t="str">
        <f>if(isblank('RHS INPUT'!A128),,CONCATENATE("/*  ",'RHS INPUT'!A128,"  */"))</f>
        <v/>
      </c>
      <c r="C128" s="22" t="str">
        <f>if(isblank(A128),,if('RHS INPUT'!D128=1,Concatenate("class ",'RHS INPUT'!C128),))</f>
        <v>class H_Hat_checker</v>
      </c>
      <c r="D128" s="27" t="str">
        <f>if(ISBLANK(A128),,if('RHS INPUT'!D128=1,CONCATENATE("{quality = ",'RHS INPUT'!G128,"; price = ",Round('RHS INPUT'!M128),";};"),""))</f>
        <v>{quality = 1; price = 20;};</v>
      </c>
      <c r="E128" t="str">
        <f>IFERROR(__xludf.DUMMYFUNCTION("if(ISBLANK(A128),, if('RHS INPUT'!E128=1,CONCATENATE(CHAR(34),To_Text('RHS INPUT'!C128),CHAR(34),CHAR(44)),""""))"),"""H_Hat_checker"",")</f>
        <v>"H_Hat_checker",</v>
      </c>
      <c r="F128" s="28" t="str">
        <f>IF(isblank(A128) ,Concatenate("&gt; ",'RHS INPUT'!A128) , if('RHS INPUT'!F128=1,CONCATENATE(round('RHS INPUT'!N128),Char(44)," ",'RHS INPUT'!C128),""))</f>
        <v>83, H_Hat_checker</v>
      </c>
    </row>
    <row r="129" ht="12.0" customHeight="1">
      <c r="A129" s="1" t="str">
        <f>IFERROR(__xludf.DUMMYFUNCTION("if(ISBLANK('RHS INPUT'!C129),,CONCATENATE(CHAR(34),To_Text('RHS INPUT'!C129),CHAR(34),CHAR(44)))"),"""H_Hat_grey"",")</f>
        <v>"H_Hat_grey",</v>
      </c>
      <c r="B129" s="18" t="str">
        <f>if(isblank('RHS INPUT'!A129),,CONCATENATE("/*  ",'RHS INPUT'!A129,"  */"))</f>
        <v/>
      </c>
      <c r="C129" s="22" t="str">
        <f>if(isblank(A129),,if('RHS INPUT'!D129=1,Concatenate("class ",'RHS INPUT'!C129),))</f>
        <v>class H_Hat_grey</v>
      </c>
      <c r="D129" s="27" t="str">
        <f>if(ISBLANK(A129),,if('RHS INPUT'!D129=1,CONCATENATE("{quality = ",'RHS INPUT'!G129,"; price = ",Round('RHS INPUT'!M129),";};"),""))</f>
        <v>{quality = 1; price = 20;};</v>
      </c>
      <c r="E129" t="str">
        <f>IFERROR(__xludf.DUMMYFUNCTION("if(ISBLANK(A129),, if('RHS INPUT'!E129=1,CONCATENATE(CHAR(34),To_Text('RHS INPUT'!C129),CHAR(34),CHAR(44)),""""))"),"""H_Hat_grey"",")</f>
        <v>"H_Hat_grey",</v>
      </c>
      <c r="F129" s="28" t="str">
        <f>IF(isblank(A129) ,Concatenate("&gt; ",'RHS INPUT'!A129) , if('RHS INPUT'!F129=1,CONCATENATE(round('RHS INPUT'!N129),Char(44)," ",'RHS INPUT'!C129),""))</f>
        <v>83, H_Hat_grey</v>
      </c>
    </row>
    <row r="130" ht="12.0" customHeight="1">
      <c r="A130" s="1" t="str">
        <f>IFERROR(__xludf.DUMMYFUNCTION("if(ISBLANK('RHS INPUT'!C130),,CONCATENATE(CHAR(34),To_Text('RHS INPUT'!C130),CHAR(34),CHAR(44)))"),"""H_Hat_tan"",")</f>
        <v>"H_Hat_tan",</v>
      </c>
      <c r="B130" s="18" t="str">
        <f>if(isblank('RHS INPUT'!A130),,CONCATENATE("/*  ",'RHS INPUT'!A130,"  */"))</f>
        <v/>
      </c>
      <c r="C130" s="22" t="str">
        <f>if(isblank(A130),,if('RHS INPUT'!D130=1,Concatenate("class ",'RHS INPUT'!C130),))</f>
        <v>class H_Hat_tan</v>
      </c>
      <c r="D130" s="27" t="str">
        <f>if(ISBLANK(A130),,if('RHS INPUT'!D130=1,CONCATENATE("{quality = ",'RHS INPUT'!G130,"; price = ",Round('RHS INPUT'!M130),";};"),""))</f>
        <v>{quality = 1; price = 20;};</v>
      </c>
      <c r="E130" t="str">
        <f>IFERROR(__xludf.DUMMYFUNCTION("if(ISBLANK(A130),, if('RHS INPUT'!E130=1,CONCATENATE(CHAR(34),To_Text('RHS INPUT'!C130),CHAR(34),CHAR(44)),""""))"),"""H_Hat_tan"",")</f>
        <v>"H_Hat_tan",</v>
      </c>
      <c r="F130" s="28" t="str">
        <f>IF(isblank(A130) ,Concatenate("&gt; ",'RHS INPUT'!A130) , if('RHS INPUT'!F130=1,CONCATENATE(round('RHS INPUT'!N130),Char(44)," ",'RHS INPUT'!C130),""))</f>
        <v>83, H_Hat_tan</v>
      </c>
    </row>
    <row r="131" ht="12.0" customHeight="1">
      <c r="A131" s="1" t="str">
        <f>IFERROR(__xludf.DUMMYFUNCTION("if(ISBLANK('RHS INPUT'!C131),,CONCATENATE(CHAR(34),To_Text('RHS INPUT'!C131),CHAR(34),CHAR(44)))"),"""H_StrawHat"",")</f>
        <v>"H_StrawHat",</v>
      </c>
      <c r="B131" s="18" t="str">
        <f>if(isblank('RHS INPUT'!A131),,CONCATENATE("/*  ",'RHS INPUT'!A131,"  */"))</f>
        <v/>
      </c>
      <c r="C131" s="22" t="str">
        <f>if(isblank(A131),,if('RHS INPUT'!D131=1,Concatenate("class ",'RHS INPUT'!C131),))</f>
        <v>class H_StrawHat</v>
      </c>
      <c r="D131" s="27" t="str">
        <f>if(ISBLANK(A131),,if('RHS INPUT'!D131=1,CONCATENATE("{quality = ",'RHS INPUT'!G131,"; price = ",Round('RHS INPUT'!M131),";};"),""))</f>
        <v>{quality = 1; price = 20;};</v>
      </c>
      <c r="E131" t="str">
        <f>IFERROR(__xludf.DUMMYFUNCTION("if(ISBLANK(A131),, if('RHS INPUT'!E131=1,CONCATENATE(CHAR(34),To_Text('RHS INPUT'!C131),CHAR(34),CHAR(44)),""""))"),"""H_StrawHat"",")</f>
        <v>"H_StrawHat",</v>
      </c>
      <c r="F131" s="28" t="str">
        <f>IF(isblank(A131) ,Concatenate("&gt; ",'RHS INPUT'!A131) , if('RHS INPUT'!F131=1,CONCATENATE(round('RHS INPUT'!N131),Char(44)," ",'RHS INPUT'!C131),""))</f>
        <v>83, H_StrawHat</v>
      </c>
    </row>
    <row r="132" ht="12.0" customHeight="1">
      <c r="A132" s="1" t="str">
        <f>IFERROR(__xludf.DUMMYFUNCTION("if(ISBLANK('RHS INPUT'!C132),,CONCATENATE(CHAR(34),To_Text('RHS INPUT'!C132),CHAR(34),CHAR(44)))"),"""H_StrawHat_dark"",")</f>
        <v>"H_StrawHat_dark",</v>
      </c>
      <c r="B132" s="18" t="str">
        <f>if(isblank('RHS INPUT'!A132),,CONCATENATE("/*  ",'RHS INPUT'!A132,"  */"))</f>
        <v/>
      </c>
      <c r="C132" s="22" t="str">
        <f>if(isblank(A132),,if('RHS INPUT'!D132=1,Concatenate("class ",'RHS INPUT'!C132),))</f>
        <v>class H_StrawHat_dark</v>
      </c>
      <c r="D132" s="27" t="str">
        <f>if(ISBLANK(A132),,if('RHS INPUT'!D132=1,CONCATENATE("{quality = ",'RHS INPUT'!G132,"; price = ",Round('RHS INPUT'!M132),";};"),""))</f>
        <v>{quality = 1; price = 20;};</v>
      </c>
      <c r="E132" t="str">
        <f>IFERROR(__xludf.DUMMYFUNCTION("if(ISBLANK(A132),, if('RHS INPUT'!E132=1,CONCATENATE(CHAR(34),To_Text('RHS INPUT'!C132),CHAR(34),CHAR(44)),""""))"),"""H_StrawHat_dark"",")</f>
        <v>"H_StrawHat_dark",</v>
      </c>
      <c r="F132" s="28" t="str">
        <f>IF(isblank(A132) ,Concatenate("&gt; ",'RHS INPUT'!A132) , if('RHS INPUT'!F132=1,CONCATENATE(round('RHS INPUT'!N132),Char(44)," ",'RHS INPUT'!C132),""))</f>
        <v>83, H_StrawHat_dark</v>
      </c>
    </row>
    <row r="133" ht="12.0" customHeight="1">
      <c r="A133" s="1" t="str">
        <f>IFERROR(__xludf.DUMMYFUNCTION("if(ISBLANK('RHS INPUT'!C133),,CONCATENATE(CHAR(34),To_Text('RHS INPUT'!C133),CHAR(34),CHAR(44)))"),"""H_Beret_02"",")</f>
        <v>"H_Beret_02",</v>
      </c>
      <c r="B133" s="18" t="str">
        <f>if(isblank('RHS INPUT'!A133),,CONCATENATE("/*  ",'RHS INPUT'!A133,"  */"))</f>
        <v/>
      </c>
      <c r="C133" s="22" t="str">
        <f>if(isblank(A133),,if('RHS INPUT'!D133=1,Concatenate("class ",'RHS INPUT'!C133),))</f>
        <v>class H_Beret_02</v>
      </c>
      <c r="D133" s="27" t="str">
        <f>if(ISBLANK(A133),,if('RHS INPUT'!D133=1,CONCATENATE("{quality = ",'RHS INPUT'!G133,"; price = ",Round('RHS INPUT'!M133),";};"),""))</f>
        <v>{quality = 1; price = 30;};</v>
      </c>
      <c r="E133" t="str">
        <f>IFERROR(__xludf.DUMMYFUNCTION("if(ISBLANK(A133),, if('RHS INPUT'!E133=1,CONCATENATE(CHAR(34),To_Text('RHS INPUT'!C133),CHAR(34),CHAR(44)),""""))"),"""H_Beret_02"",")</f>
        <v>"H_Beret_02",</v>
      </c>
      <c r="F133" s="28" t="str">
        <f>IF(isblank(A133) ,Concatenate("&gt; ",'RHS INPUT'!A133) , if('RHS INPUT'!F133=1,CONCATENATE(round('RHS INPUT'!N133),Char(44)," ",'RHS INPUT'!C133),""))</f>
        <v>77, H_Beret_02</v>
      </c>
    </row>
    <row r="134" ht="12.0" customHeight="1">
      <c r="A134" s="1" t="str">
        <f>IFERROR(__xludf.DUMMYFUNCTION("if(ISBLANK('RHS INPUT'!C134),,CONCATENATE(CHAR(34),To_Text('RHS INPUT'!C134),CHAR(34),CHAR(44)))"),"""H_Beret_blk"",")</f>
        <v>"H_Beret_blk",</v>
      </c>
      <c r="B134" s="18" t="str">
        <f>if(isblank('RHS INPUT'!A134),,CONCATENATE("/*  ",'RHS INPUT'!A134,"  */"))</f>
        <v/>
      </c>
      <c r="C134" s="22" t="str">
        <f>if(isblank(A134),,if('RHS INPUT'!D134=1,Concatenate("class ",'RHS INPUT'!C134),))</f>
        <v>class H_Beret_blk</v>
      </c>
      <c r="D134" s="27" t="str">
        <f>if(ISBLANK(A134),,if('RHS INPUT'!D134=1,CONCATENATE("{quality = ",'RHS INPUT'!G134,"; price = ",Round('RHS INPUT'!M134),";};"),""))</f>
        <v>{quality = 1; price = 30;};</v>
      </c>
      <c r="E134" t="str">
        <f>IFERROR(__xludf.DUMMYFUNCTION("if(ISBLANK(A134),, if('RHS INPUT'!E134=1,CONCATENATE(CHAR(34),To_Text('RHS INPUT'!C134),CHAR(34),CHAR(44)),""""))"),"""H_Beret_blk"",")</f>
        <v>"H_Beret_blk",</v>
      </c>
      <c r="F134" s="28" t="str">
        <f>IF(isblank(A134) ,Concatenate("&gt; ",'RHS INPUT'!A134) , if('RHS INPUT'!F134=1,CONCATENATE(round('RHS INPUT'!N134),Char(44)," ",'RHS INPUT'!C134),""))</f>
        <v>77, H_Beret_blk</v>
      </c>
    </row>
    <row r="135" ht="12.0" customHeight="1">
      <c r="A135" s="1" t="str">
        <f>IFERROR(__xludf.DUMMYFUNCTION("if(ISBLANK('RHS INPUT'!C135),,CONCATENATE(CHAR(34),To_Text('RHS INPUT'!C135),CHAR(34),CHAR(44)))"),"""H_Beret_blk_POLICE"",")</f>
        <v>"H_Beret_blk_POLICE",</v>
      </c>
      <c r="B135" s="18" t="str">
        <f>if(isblank('RHS INPUT'!A135),,CONCATENATE("/*  ",'RHS INPUT'!A135,"  */"))</f>
        <v/>
      </c>
      <c r="C135" s="22" t="str">
        <f>if(isblank(A135),,if('RHS INPUT'!D135=1,Concatenate("class ",'RHS INPUT'!C135),))</f>
        <v>class H_Beret_blk_POLICE</v>
      </c>
      <c r="D135" s="27" t="str">
        <f>if(ISBLANK(A135),,if('RHS INPUT'!D135=1,CONCATENATE("{quality = ",'RHS INPUT'!G135,"; price = ",Round('RHS INPUT'!M135),";};"),""))</f>
        <v>{quality = 1; price = 30;};</v>
      </c>
      <c r="E135" t="str">
        <f>IFERROR(__xludf.DUMMYFUNCTION("if(ISBLANK(A135),, if('RHS INPUT'!E135=1,CONCATENATE(CHAR(34),To_Text('RHS INPUT'!C135),CHAR(34),CHAR(44)),""""))"),"""H_Beret_blk_POLICE"",")</f>
        <v>"H_Beret_blk_POLICE",</v>
      </c>
      <c r="F135" s="28" t="str">
        <f>IF(isblank(A135) ,Concatenate("&gt; ",'RHS INPUT'!A135) , if('RHS INPUT'!F135=1,CONCATENATE(round('RHS INPUT'!N135),Char(44)," ",'RHS INPUT'!C135),""))</f>
        <v>77, H_Beret_blk_POLICE</v>
      </c>
    </row>
    <row r="136" ht="12.0" customHeight="1">
      <c r="A136" s="1" t="str">
        <f>IFERROR(__xludf.DUMMYFUNCTION("if(ISBLANK('RHS INPUT'!C136),,CONCATENATE(CHAR(34),To_Text('RHS INPUT'!C136),CHAR(34),CHAR(44)))"),"""H_Beret_brn_SF"",")</f>
        <v>"H_Beret_brn_SF",</v>
      </c>
      <c r="B136" s="18" t="str">
        <f>if(isblank('RHS INPUT'!A136),,CONCATENATE("/*  ",'RHS INPUT'!A136,"  */"))</f>
        <v/>
      </c>
      <c r="C136" s="22" t="str">
        <f>if(isblank(A136),,if('RHS INPUT'!D136=1,Concatenate("class ",'RHS INPUT'!C136),))</f>
        <v>class H_Beret_brn_SF</v>
      </c>
      <c r="D136" s="27" t="str">
        <f>if(ISBLANK(A136),,if('RHS INPUT'!D136=1,CONCATENATE("{quality = ",'RHS INPUT'!G136,"; price = ",Round('RHS INPUT'!M136),";};"),""))</f>
        <v>{quality = 1; price = 30;};</v>
      </c>
      <c r="E136" t="str">
        <f>IFERROR(__xludf.DUMMYFUNCTION("if(ISBLANK(A136),, if('RHS INPUT'!E136=1,CONCATENATE(CHAR(34),To_Text('RHS INPUT'!C136),CHAR(34),CHAR(44)),""""))"),"""H_Beret_brn_SF"",")</f>
        <v>"H_Beret_brn_SF",</v>
      </c>
      <c r="F136" s="28" t="str">
        <f>IF(isblank(A136) ,Concatenate("&gt; ",'RHS INPUT'!A136) , if('RHS INPUT'!F136=1,CONCATENATE(round('RHS INPUT'!N136),Char(44)," ",'RHS INPUT'!C136),""))</f>
        <v>77, H_Beret_brn_SF</v>
      </c>
    </row>
    <row r="137" ht="12.0" customHeight="1">
      <c r="A137" s="1" t="str">
        <f>IFERROR(__xludf.DUMMYFUNCTION("if(ISBLANK('RHS INPUT'!C137),,CONCATENATE(CHAR(34),To_Text('RHS INPUT'!C137),CHAR(34),CHAR(44)))"),"""H_Beret_Colonel"",")</f>
        <v>"H_Beret_Colonel",</v>
      </c>
      <c r="B137" s="18" t="str">
        <f>if(isblank('RHS INPUT'!A137),,CONCATENATE("/*  ",'RHS INPUT'!A137,"  */"))</f>
        <v/>
      </c>
      <c r="C137" s="22" t="str">
        <f>if(isblank(A137),,if('RHS INPUT'!D137=1,Concatenate("class ",'RHS INPUT'!C137),))</f>
        <v>class H_Beret_Colonel</v>
      </c>
      <c r="D137" s="27" t="str">
        <f>if(ISBLANK(A137),,if('RHS INPUT'!D137=1,CONCATENATE("{quality = ",'RHS INPUT'!G137,"; price = ",Round('RHS INPUT'!M137),";};"),""))</f>
        <v>{quality = 1; price = 30;};</v>
      </c>
      <c r="E137" t="str">
        <f>IFERROR(__xludf.DUMMYFUNCTION("if(ISBLANK(A137),, if('RHS INPUT'!E137=1,CONCATENATE(CHAR(34),To_Text('RHS INPUT'!C137),CHAR(34),CHAR(44)),""""))"),"""H_Beret_Colonel"",")</f>
        <v>"H_Beret_Colonel",</v>
      </c>
      <c r="F137" s="28" t="str">
        <f>IF(isblank(A137) ,Concatenate("&gt; ",'RHS INPUT'!A137) , if('RHS INPUT'!F137=1,CONCATENATE(round('RHS INPUT'!N137),Char(44)," ",'RHS INPUT'!C137),""))</f>
        <v>77, H_Beret_Colonel</v>
      </c>
    </row>
    <row r="138" ht="12.0" customHeight="1">
      <c r="A138" s="1" t="str">
        <f>IFERROR(__xludf.DUMMYFUNCTION("if(ISBLANK('RHS INPUT'!C138),,CONCATENATE(CHAR(34),To_Text('RHS INPUT'!C138),CHAR(34),CHAR(44)))"),"""H_Beret_grn"",")</f>
        <v>"H_Beret_grn",</v>
      </c>
      <c r="B138" s="18" t="str">
        <f>if(isblank('RHS INPUT'!A138),,CONCATENATE("/*  ",'RHS INPUT'!A138,"  */"))</f>
        <v/>
      </c>
      <c r="C138" s="22" t="str">
        <f>if(isblank(A138),,if('RHS INPUT'!D138=1,Concatenate("class ",'RHS INPUT'!C138),))</f>
        <v>class H_Beret_grn</v>
      </c>
      <c r="D138" s="27" t="str">
        <f>if(ISBLANK(A138),,if('RHS INPUT'!D138=1,CONCATENATE("{quality = ",'RHS INPUT'!G138,"; price = ",Round('RHS INPUT'!M138),";};"),""))</f>
        <v>{quality = 1; price = 30;};</v>
      </c>
      <c r="E138" t="str">
        <f>IFERROR(__xludf.DUMMYFUNCTION("if(ISBLANK(A138),, if('RHS INPUT'!E138=1,CONCATENATE(CHAR(34),To_Text('RHS INPUT'!C138),CHAR(34),CHAR(44)),""""))"),"""H_Beret_grn"",")</f>
        <v>"H_Beret_grn",</v>
      </c>
      <c r="F138" s="28" t="str">
        <f>IF(isblank(A138) ,Concatenate("&gt; ",'RHS INPUT'!A138) , if('RHS INPUT'!F138=1,CONCATENATE(round('RHS INPUT'!N138),Char(44)," ",'RHS INPUT'!C138),""))</f>
        <v>77, H_Beret_grn</v>
      </c>
    </row>
    <row r="139" ht="12.0" customHeight="1">
      <c r="A139" s="1" t="str">
        <f>IFERROR(__xludf.DUMMYFUNCTION("if(ISBLANK('RHS INPUT'!C139),,CONCATENATE(CHAR(34),To_Text('RHS INPUT'!C139),CHAR(34),CHAR(44)))"),"""H_Beret_grn_SF"",")</f>
        <v>"H_Beret_grn_SF",</v>
      </c>
      <c r="B139" s="18" t="str">
        <f>if(isblank('RHS INPUT'!A139),,CONCATENATE("/*  ",'RHS INPUT'!A139,"  */"))</f>
        <v/>
      </c>
      <c r="C139" s="22" t="str">
        <f>if(isblank(A139),,if('RHS INPUT'!D139=1,Concatenate("class ",'RHS INPUT'!C139),))</f>
        <v>class H_Beret_grn_SF</v>
      </c>
      <c r="D139" s="27" t="str">
        <f>if(ISBLANK(A139),,if('RHS INPUT'!D139=1,CONCATENATE("{quality = ",'RHS INPUT'!G139,"; price = ",Round('RHS INPUT'!M139),";};"),""))</f>
        <v>{quality = 1; price = 30;};</v>
      </c>
      <c r="E139" t="str">
        <f>IFERROR(__xludf.DUMMYFUNCTION("if(ISBLANK(A139),, if('RHS INPUT'!E139=1,CONCATENATE(CHAR(34),To_Text('RHS INPUT'!C139),CHAR(34),CHAR(44)),""""))"),"""H_Beret_grn_SF"",")</f>
        <v>"H_Beret_grn_SF",</v>
      </c>
      <c r="F139" s="28" t="str">
        <f>IF(isblank(A139) ,Concatenate("&gt; ",'RHS INPUT'!A139) , if('RHS INPUT'!F139=1,CONCATENATE(round('RHS INPUT'!N139),Char(44)," ",'RHS INPUT'!C139),""))</f>
        <v>77, H_Beret_grn_SF</v>
      </c>
    </row>
    <row r="140" ht="12.0" customHeight="1">
      <c r="A140" s="1" t="str">
        <f>IFERROR(__xludf.DUMMYFUNCTION("if(ISBLANK('RHS INPUT'!C140),,CONCATENATE(CHAR(34),To_Text('RHS INPUT'!C140),CHAR(34),CHAR(44)))"),"""H_Beret_ocamo"",")</f>
        <v>"H_Beret_ocamo",</v>
      </c>
      <c r="B140" s="18" t="str">
        <f>if(isblank('RHS INPUT'!A140),,CONCATENATE("/*  ",'RHS INPUT'!A140,"  */"))</f>
        <v/>
      </c>
      <c r="C140" s="22" t="str">
        <f>if(isblank(A140),,if('RHS INPUT'!D140=1,Concatenate("class ",'RHS INPUT'!C140),))</f>
        <v>class H_Beret_ocamo</v>
      </c>
      <c r="D140" s="27" t="str">
        <f>if(ISBLANK(A140),,if('RHS INPUT'!D140=1,CONCATENATE("{quality = ",'RHS INPUT'!G140,"; price = ",Round('RHS INPUT'!M140),";};"),""))</f>
        <v>{quality = 1; price = 30;};</v>
      </c>
      <c r="E140" t="str">
        <f>IFERROR(__xludf.DUMMYFUNCTION("if(ISBLANK(A140),, if('RHS INPUT'!E140=1,CONCATENATE(CHAR(34),To_Text('RHS INPUT'!C140),CHAR(34),CHAR(44)),""""))"),"""H_Beret_ocamo"",")</f>
        <v>"H_Beret_ocamo",</v>
      </c>
      <c r="F140" s="28" t="str">
        <f>IF(isblank(A140) ,Concatenate("&gt; ",'RHS INPUT'!A140) , if('RHS INPUT'!F140=1,CONCATENATE(round('RHS INPUT'!N140),Char(44)," ",'RHS INPUT'!C140),""))</f>
        <v>77, H_Beret_ocamo</v>
      </c>
    </row>
    <row r="141" ht="12.0" customHeight="1">
      <c r="A141" s="1" t="str">
        <f>IFERROR(__xludf.DUMMYFUNCTION("if(ISBLANK('RHS INPUT'!C141),,CONCATENATE(CHAR(34),To_Text('RHS INPUT'!C141),CHAR(34),CHAR(44)))"),"""H_Beret_red"",")</f>
        <v>"H_Beret_red",</v>
      </c>
      <c r="B141" s="18" t="str">
        <f>if(isblank('RHS INPUT'!A141),,CONCATENATE("/*  ",'RHS INPUT'!A141,"  */"))</f>
        <v/>
      </c>
      <c r="C141" s="22" t="str">
        <f>if(isblank(A141),,if('RHS INPUT'!D141=1,Concatenate("class ",'RHS INPUT'!C141),))</f>
        <v>class H_Beret_red</v>
      </c>
      <c r="D141" s="27" t="str">
        <f>if(ISBLANK(A141),,if('RHS INPUT'!D141=1,CONCATENATE("{quality = ",'RHS INPUT'!G141,"; price = ",Round('RHS INPUT'!M141),";};"),""))</f>
        <v>{quality = 1; price = 30;};</v>
      </c>
      <c r="E141" t="str">
        <f>IFERROR(__xludf.DUMMYFUNCTION("if(ISBLANK(A141),, if('RHS INPUT'!E141=1,CONCATENATE(CHAR(34),To_Text('RHS INPUT'!C141),CHAR(34),CHAR(44)),""""))"),"""H_Beret_red"",")</f>
        <v>"H_Beret_red",</v>
      </c>
      <c r="F141" s="28" t="str">
        <f>IF(isblank(A141) ,Concatenate("&gt; ",'RHS INPUT'!A141) , if('RHS INPUT'!F141=1,CONCATENATE(round('RHS INPUT'!N141),Char(44)," ",'RHS INPUT'!C141),""))</f>
        <v>77, H_Beret_red</v>
      </c>
    </row>
    <row r="142" ht="12.0" customHeight="1">
      <c r="A142" s="1" t="str">
        <f>IFERROR(__xludf.DUMMYFUNCTION("if(ISBLANK('RHS INPUT'!C142),,CONCATENATE(CHAR(34),To_Text('RHS INPUT'!C142),CHAR(34),CHAR(44)))"),"""H_Shemag_khk"",")</f>
        <v>"H_Shemag_khk",</v>
      </c>
      <c r="B142" s="18" t="str">
        <f>if(isblank('RHS INPUT'!A142),,CONCATENATE("/*  ",'RHS INPUT'!A142,"  */"))</f>
        <v/>
      </c>
      <c r="C142" s="22" t="str">
        <f>if(isblank(A142),,if('RHS INPUT'!D142=1,Concatenate("class ",'RHS INPUT'!C142),))</f>
        <v>class H_Shemag_khk</v>
      </c>
      <c r="D142" s="27" t="str">
        <f>if(ISBLANK(A142),,if('RHS INPUT'!D142=1,CONCATENATE("{quality = ",'RHS INPUT'!G142,"; price = ",Round('RHS INPUT'!M142),";};"),""))</f>
        <v>{quality = 1; price = 20;};</v>
      </c>
      <c r="E142" t="str">
        <f>IFERROR(__xludf.DUMMYFUNCTION("if(ISBLANK(A142),, if('RHS INPUT'!E142=1,CONCATENATE(CHAR(34),To_Text('RHS INPUT'!C142),CHAR(34),CHAR(44)),""""))"),"""H_Shemag_khk"",")</f>
        <v>"H_Shemag_khk",</v>
      </c>
      <c r="F142" s="28" t="str">
        <f>IF(isblank(A142) ,Concatenate("&gt; ",'RHS INPUT'!A142) , if('RHS INPUT'!F142=1,CONCATENATE(round('RHS INPUT'!N142),Char(44)," ",'RHS INPUT'!C142),""))</f>
        <v>83, H_Shemag_khk</v>
      </c>
    </row>
    <row r="143" ht="12.0" customHeight="1">
      <c r="A143" s="1" t="str">
        <f>IFERROR(__xludf.DUMMYFUNCTION("if(ISBLANK('RHS INPUT'!C143),,CONCATENATE(CHAR(34),To_Text('RHS INPUT'!C143),CHAR(34),CHAR(44)))"),"""H_Shemag_olive"",")</f>
        <v>"H_Shemag_olive",</v>
      </c>
      <c r="B143" s="18" t="str">
        <f>if(isblank('RHS INPUT'!A143),,CONCATENATE("/*  ",'RHS INPUT'!A143,"  */"))</f>
        <v/>
      </c>
      <c r="C143" s="22" t="str">
        <f>if(isblank(A143),,if('RHS INPUT'!D143=1,Concatenate("class ",'RHS INPUT'!C143),))</f>
        <v>class H_Shemag_olive</v>
      </c>
      <c r="D143" s="27" t="str">
        <f>if(ISBLANK(A143),,if('RHS INPUT'!D143=1,CONCATENATE("{quality = ",'RHS INPUT'!G143,"; price = ",Round('RHS INPUT'!M143),";};"),""))</f>
        <v>{quality = 1; price = 20;};</v>
      </c>
      <c r="E143" t="str">
        <f>IFERROR(__xludf.DUMMYFUNCTION("if(ISBLANK(A143),, if('RHS INPUT'!E143=1,CONCATENATE(CHAR(34),To_Text('RHS INPUT'!C143),CHAR(34),CHAR(44)),""""))"),"""H_Shemag_olive"",")</f>
        <v>"H_Shemag_olive",</v>
      </c>
      <c r="F143" s="28" t="str">
        <f>IF(isblank(A143) ,Concatenate("&gt; ",'RHS INPUT'!A143) , if('RHS INPUT'!F143=1,CONCATENATE(round('RHS INPUT'!N143),Char(44)," ",'RHS INPUT'!C143),""))</f>
        <v>83, H_Shemag_olive</v>
      </c>
    </row>
    <row r="144" ht="12.0" customHeight="1">
      <c r="A144" s="1" t="str">
        <f>IFERROR(__xludf.DUMMYFUNCTION("if(ISBLANK('RHS INPUT'!C144),,CONCATENATE(CHAR(34),To_Text('RHS INPUT'!C144),CHAR(34),CHAR(44)))"),"""H_Shemag_olive_hs"",")</f>
        <v>"H_Shemag_olive_hs",</v>
      </c>
      <c r="B144" s="18" t="str">
        <f>if(isblank('RHS INPUT'!A144),,CONCATENATE("/*  ",'RHS INPUT'!A144,"  */"))</f>
        <v/>
      </c>
      <c r="C144" s="22" t="str">
        <f>if(isblank(A144),,if('RHS INPUT'!D144=1,Concatenate("class ",'RHS INPUT'!C144),))</f>
        <v>class H_Shemag_olive_hs</v>
      </c>
      <c r="D144" s="27" t="str">
        <f>if(ISBLANK(A144),,if('RHS INPUT'!D144=1,CONCATENATE("{quality = ",'RHS INPUT'!G144,"; price = ",Round('RHS INPUT'!M144),";};"),""))</f>
        <v>{quality = 1; price = 20;};</v>
      </c>
      <c r="E144" t="str">
        <f>IFERROR(__xludf.DUMMYFUNCTION("if(ISBLANK(A144),, if('RHS INPUT'!E144=1,CONCATENATE(CHAR(34),To_Text('RHS INPUT'!C144),CHAR(34),CHAR(44)),""""))"),"""H_Shemag_olive_hs"",")</f>
        <v>"H_Shemag_olive_hs",</v>
      </c>
      <c r="F144" s="28" t="str">
        <f>IF(isblank(A144) ,Concatenate("&gt; ",'RHS INPUT'!A144) , if('RHS INPUT'!F144=1,CONCATENATE(round('RHS INPUT'!N144),Char(44)," ",'RHS INPUT'!C144),""))</f>
        <v>83, H_Shemag_olive_hs</v>
      </c>
    </row>
    <row r="145" ht="12.0" customHeight="1">
      <c r="A145" s="1" t="str">
        <f>IFERROR(__xludf.DUMMYFUNCTION("if(ISBLANK('RHS INPUT'!C145),,CONCATENATE(CHAR(34),To_Text('RHS INPUT'!C145),CHAR(34),CHAR(44)))"),"""H_Shemag_tan"",")</f>
        <v>"H_Shemag_tan",</v>
      </c>
      <c r="B145" s="18" t="str">
        <f>if(isblank('RHS INPUT'!A145),,CONCATENATE("/*  ",'RHS INPUT'!A145,"  */"))</f>
        <v/>
      </c>
      <c r="C145" s="22" t="str">
        <f>if(isblank(A145),,if('RHS INPUT'!D145=1,Concatenate("class ",'RHS INPUT'!C145),))</f>
        <v>class H_Shemag_tan</v>
      </c>
      <c r="D145" s="27" t="str">
        <f>if(ISBLANK(A145),,if('RHS INPUT'!D145=1,CONCATENATE("{quality = ",'RHS INPUT'!G145,"; price = ",Round('RHS INPUT'!M145),";};"),""))</f>
        <v>{quality = 1; price = 20;};</v>
      </c>
      <c r="E145" t="str">
        <f>IFERROR(__xludf.DUMMYFUNCTION("if(ISBLANK(A145),, if('RHS INPUT'!E145=1,CONCATENATE(CHAR(34),To_Text('RHS INPUT'!C145),CHAR(34),CHAR(44)),""""))"),"""H_Shemag_tan"",")</f>
        <v>"H_Shemag_tan",</v>
      </c>
      <c r="F145" s="28" t="str">
        <f>IF(isblank(A145) ,Concatenate("&gt; ",'RHS INPUT'!A145) , if('RHS INPUT'!F145=1,CONCATENATE(round('RHS INPUT'!N145),Char(44)," ",'RHS INPUT'!C145),""))</f>
        <v>83, H_Shemag_tan</v>
      </c>
    </row>
    <row r="146" ht="12.0" customHeight="1">
      <c r="A146" s="1" t="str">
        <f>IFERROR(__xludf.DUMMYFUNCTION("if(ISBLANK('RHS INPUT'!C146),,CONCATENATE(CHAR(34),To_Text('RHS INPUT'!C146),CHAR(34),CHAR(44)))"),"""H_ShemagOpen_khk"",")</f>
        <v>"H_ShemagOpen_khk",</v>
      </c>
      <c r="B146" s="18" t="str">
        <f>if(isblank('RHS INPUT'!A146),,CONCATENATE("/*  ",'RHS INPUT'!A146,"  */"))</f>
        <v/>
      </c>
      <c r="C146" s="22" t="str">
        <f>if(isblank(A146),,if('RHS INPUT'!D146=1,Concatenate("class ",'RHS INPUT'!C146),))</f>
        <v>class H_ShemagOpen_khk</v>
      </c>
      <c r="D146" s="27" t="str">
        <f>if(ISBLANK(A146),,if('RHS INPUT'!D146=1,CONCATENATE("{quality = ",'RHS INPUT'!G146,"; price = ",Round('RHS INPUT'!M146),";};"),""))</f>
        <v>{quality = 1; price = 20;};</v>
      </c>
      <c r="E146" t="str">
        <f>IFERROR(__xludf.DUMMYFUNCTION("if(ISBLANK(A146),, if('RHS INPUT'!E146=1,CONCATENATE(CHAR(34),To_Text('RHS INPUT'!C146),CHAR(34),CHAR(44)),""""))"),"""H_ShemagOpen_khk"",")</f>
        <v>"H_ShemagOpen_khk",</v>
      </c>
      <c r="F146" s="28" t="str">
        <f>IF(isblank(A146) ,Concatenate("&gt; ",'RHS INPUT'!A146) , if('RHS INPUT'!F146=1,CONCATENATE(round('RHS INPUT'!N146),Char(44)," ",'RHS INPUT'!C146),""))</f>
        <v>83, H_ShemagOpen_khk</v>
      </c>
    </row>
    <row r="147" ht="12.0" customHeight="1">
      <c r="A147" s="1" t="str">
        <f>IFERROR(__xludf.DUMMYFUNCTION("if(ISBLANK('RHS INPUT'!C147),,CONCATENATE(CHAR(34),To_Text('RHS INPUT'!C147),CHAR(34),CHAR(44)))"),"""H_ShemagOpen_tan"",")</f>
        <v>"H_ShemagOpen_tan",</v>
      </c>
      <c r="B147" s="18" t="str">
        <f>if(isblank('RHS INPUT'!A147),,CONCATENATE("/*  ",'RHS INPUT'!A147,"  */"))</f>
        <v/>
      </c>
      <c r="C147" s="22" t="str">
        <f>if(isblank(A147),,if('RHS INPUT'!D147=1,Concatenate("class ",'RHS INPUT'!C147),))</f>
        <v>class H_ShemagOpen_tan</v>
      </c>
      <c r="D147" s="27" t="str">
        <f>if(ISBLANK(A147),,if('RHS INPUT'!D147=1,CONCATENATE("{quality = ",'RHS INPUT'!G147,"; price = ",Round('RHS INPUT'!M147),";};"),""))</f>
        <v>{quality = 1; price = 20;};</v>
      </c>
      <c r="E147" t="str">
        <f>IFERROR(__xludf.DUMMYFUNCTION("if(ISBLANK(A147),, if('RHS INPUT'!E147=1,CONCATENATE(CHAR(34),To_Text('RHS INPUT'!C147),CHAR(34),CHAR(44)),""""))"),"""H_ShemagOpen_tan"",")</f>
        <v>"H_ShemagOpen_tan",</v>
      </c>
      <c r="F147" s="28" t="str">
        <f>IF(isblank(A147) ,Concatenate("&gt; ",'RHS INPUT'!A147) , if('RHS INPUT'!F147=1,CONCATENATE(round('RHS INPUT'!N147),Char(44)," ",'RHS INPUT'!C147),""))</f>
        <v>83, H_ShemagOpen_tan</v>
      </c>
    </row>
    <row r="148" ht="12.0" customHeight="1">
      <c r="A148" s="1" t="str">
        <f>IFERROR(__xludf.DUMMYFUNCTION("if(ISBLANK('RHS INPUT'!C148),,CONCATENATE(CHAR(34),To_Text('RHS INPUT'!C148),CHAR(34),CHAR(44)))"),"""H_TurbanO_blk"",")</f>
        <v>"H_TurbanO_blk",</v>
      </c>
      <c r="B148" s="18" t="str">
        <f>if(isblank('RHS INPUT'!A148),,CONCATENATE("/*  ",'RHS INPUT'!A148,"  */"))</f>
        <v/>
      </c>
      <c r="C148" s="22" t="str">
        <f>if(isblank(A148),,if('RHS INPUT'!D148=1,Concatenate("class ",'RHS INPUT'!C148),))</f>
        <v>class H_TurbanO_blk</v>
      </c>
      <c r="D148" s="27" t="str">
        <f>if(ISBLANK(A148),,if('RHS INPUT'!D148=1,CONCATENATE("{quality = ",'RHS INPUT'!G148,"; price = ",Round('RHS INPUT'!M148),";};"),""))</f>
        <v>{quality = 1; price = 20;};</v>
      </c>
      <c r="E148" t="str">
        <f>IFERROR(__xludf.DUMMYFUNCTION("if(ISBLANK(A148),, if('RHS INPUT'!E148=1,CONCATENATE(CHAR(34),To_Text('RHS INPUT'!C148),CHAR(34),CHAR(44)),""""))"),"""H_TurbanO_blk"",")</f>
        <v>"H_TurbanO_blk",</v>
      </c>
      <c r="F148" s="28" t="str">
        <f>IF(isblank(A148) ,Concatenate("&gt; ",'RHS INPUT'!A148) , if('RHS INPUT'!F148=1,CONCATENATE(round('RHS INPUT'!N148),Char(44)," ",'RHS INPUT'!C148),""))</f>
        <v>83, H_TurbanO_blk</v>
      </c>
    </row>
    <row r="149" ht="12.0" customHeight="1">
      <c r="A149" s="1" t="str">
        <f>IFERROR(__xludf.DUMMYFUNCTION("if(ISBLANK('RHS INPUT'!C149),,CONCATENATE(CHAR(34),To_Text('RHS INPUT'!C149),CHAR(34),CHAR(44)))"),"")</f>
        <v/>
      </c>
      <c r="B149" s="18" t="str">
        <f>if(isblank('RHS INPUT'!A149),,CONCATENATE("/*  ",'RHS INPUT'!A149,"  */"))</f>
        <v>/*  HELMETS  */</v>
      </c>
      <c r="C149" s="22" t="str">
        <f>if(isblank(A149),,if('RHS INPUT'!D149=1,Concatenate("class ",'RHS INPUT'!C149),))</f>
        <v/>
      </c>
      <c r="D149" s="27" t="str">
        <f>if(ISBLANK(A149),,if('RHS INPUT'!D149=1,CONCATENATE("{quality = ",'RHS INPUT'!G149,"; price = ",Round('RHS INPUT'!M149),";};"),""))</f>
        <v/>
      </c>
      <c r="E149" t="str">
        <f>IFERROR(__xludf.DUMMYFUNCTION("if(ISBLANK(A149),, if('RHS INPUT'!E149=1,CONCATENATE(CHAR(34),To_Text('RHS INPUT'!C149),CHAR(34),CHAR(44)),""""))"),"")</f>
        <v/>
      </c>
      <c r="F149" s="28" t="str">
        <f>IF(isblank(A149) ,Concatenate("&gt; ",'RHS INPUT'!A149) , if('RHS INPUT'!F149=1,CONCATENATE(round('RHS INPUT'!N149),Char(44)," ",'RHS INPUT'!C149),""))</f>
        <v>&gt; HELMETS</v>
      </c>
    </row>
    <row r="150" ht="12.0" customHeight="1">
      <c r="A150" s="1" t="str">
        <f>IFERROR(__xludf.DUMMYFUNCTION("if(ISBLANK('RHS INPUT'!C150),,CONCATENATE(CHAR(34),To_Text('RHS INPUT'!C150),CHAR(34),CHAR(44)))"),"""H_HelmetB_light"",")</f>
        <v>"H_HelmetB_light",</v>
      </c>
      <c r="B150" s="18" t="str">
        <f>if(isblank('RHS INPUT'!A150),,CONCATENATE("/*  ",'RHS INPUT'!A150,"  */"))</f>
        <v/>
      </c>
      <c r="C150" s="22" t="str">
        <f>if(isblank(A150),,if('RHS INPUT'!D150=1,Concatenate("class ",'RHS INPUT'!C150),))</f>
        <v>class H_HelmetB_light</v>
      </c>
      <c r="D150" s="27" t="str">
        <f>if(ISBLANK(A150),,if('RHS INPUT'!D150=1,CONCATENATE("{quality = ",'RHS INPUT'!G150,"; price = ",Round('RHS INPUT'!M150),";};"),""))</f>
        <v>{quality = 2; price = 208;};</v>
      </c>
      <c r="E150" t="str">
        <f>IFERROR(__xludf.DUMMYFUNCTION("if(ISBLANK(A150),, if('RHS INPUT'!E150=1,CONCATENATE(CHAR(34),To_Text('RHS INPUT'!C150),CHAR(34),CHAR(44)),""""))"),"""H_HelmetB_light"",")</f>
        <v>"H_HelmetB_light",</v>
      </c>
      <c r="F150" s="28" t="str">
        <f>IF(isblank(A150) ,Concatenate("&gt; ",'RHS INPUT'!A150) , if('RHS INPUT'!F150=1,CONCATENATE(round('RHS INPUT'!N150),Char(44)," ",'RHS INPUT'!C150),""))</f>
        <v>32, H_HelmetB_light</v>
      </c>
    </row>
    <row r="151" ht="12.0" customHeight="1">
      <c r="A151" s="1" t="str">
        <f>IFERROR(__xludf.DUMMYFUNCTION("if(ISBLANK('RHS INPUT'!C151),,CONCATENATE(CHAR(34),To_Text('RHS INPUT'!C151),CHAR(34),CHAR(44)))"),"""H_HelmetB_light_black"",")</f>
        <v>"H_HelmetB_light_black",</v>
      </c>
      <c r="B151" s="18" t="str">
        <f>if(isblank('RHS INPUT'!A151),,CONCATENATE("/*  ",'RHS INPUT'!A151,"  */"))</f>
        <v/>
      </c>
      <c r="C151" s="22" t="str">
        <f>if(isblank(A151),,if('RHS INPUT'!D151=1,Concatenate("class ",'RHS INPUT'!C151),))</f>
        <v>class H_HelmetB_light_black</v>
      </c>
      <c r="D151" s="27" t="str">
        <f>if(ISBLANK(A151),,if('RHS INPUT'!D151=1,CONCATENATE("{quality = ",'RHS INPUT'!G151,"; price = ",Round('RHS INPUT'!M151),";};"),""))</f>
        <v>{quality = 2; price = 208;};</v>
      </c>
      <c r="E151" t="str">
        <f>IFERROR(__xludf.DUMMYFUNCTION("if(ISBLANK(A151),, if('RHS INPUT'!E151=1,CONCATENATE(CHAR(34),To_Text('RHS INPUT'!C151),CHAR(34),CHAR(44)),""""))"),"""H_HelmetB_light_black"",")</f>
        <v>"H_HelmetB_light_black",</v>
      </c>
      <c r="F151" s="28" t="str">
        <f>IF(isblank(A151) ,Concatenate("&gt; ",'RHS INPUT'!A151) , if('RHS INPUT'!F151=1,CONCATENATE(round('RHS INPUT'!N151),Char(44)," ",'RHS INPUT'!C151),""))</f>
        <v>32, H_HelmetB_light_black</v>
      </c>
    </row>
    <row r="152" ht="12.0" customHeight="1">
      <c r="A152" s="1" t="str">
        <f>IFERROR(__xludf.DUMMYFUNCTION("if(ISBLANK('RHS INPUT'!C152),,CONCATENATE(CHAR(34),To_Text('RHS INPUT'!C152),CHAR(34),CHAR(44)))"),"""H_HelmetB_light_desert"",")</f>
        <v>"H_HelmetB_light_desert",</v>
      </c>
      <c r="B152" s="18" t="str">
        <f>if(isblank('RHS INPUT'!A152),,CONCATENATE("/*  ",'RHS INPUT'!A152,"  */"))</f>
        <v/>
      </c>
      <c r="C152" s="22" t="str">
        <f>if(isblank(A152),,if('RHS INPUT'!D152=1,Concatenate("class ",'RHS INPUT'!C152),))</f>
        <v>class H_HelmetB_light_desert</v>
      </c>
      <c r="D152" s="27" t="str">
        <f>if(ISBLANK(A152),,if('RHS INPUT'!D152=1,CONCATENATE("{quality = ",'RHS INPUT'!G152,"; price = ",Round('RHS INPUT'!M152),";};"),""))</f>
        <v>{quality = 2; price = 208;};</v>
      </c>
      <c r="E152" t="str">
        <f>IFERROR(__xludf.DUMMYFUNCTION("if(ISBLANK(A152),, if('RHS INPUT'!E152=1,CONCATENATE(CHAR(34),To_Text('RHS INPUT'!C152),CHAR(34),CHAR(44)),""""))"),"""H_HelmetB_light_desert"",")</f>
        <v>"H_HelmetB_light_desert",</v>
      </c>
      <c r="F152" s="28" t="str">
        <f>IF(isblank(A152) ,Concatenate("&gt; ",'RHS INPUT'!A152) , if('RHS INPUT'!F152=1,CONCATENATE(round('RHS INPUT'!N152),Char(44)," ",'RHS INPUT'!C152),""))</f>
        <v>32, H_HelmetB_light_desert</v>
      </c>
    </row>
    <row r="153" ht="12.0" customHeight="1">
      <c r="A153" s="1" t="str">
        <f>IFERROR(__xludf.DUMMYFUNCTION("if(ISBLANK('RHS INPUT'!C153),,CONCATENATE(CHAR(34),To_Text('RHS INPUT'!C153),CHAR(34),CHAR(44)))"),"""H_HelmetB_light_grass"",")</f>
        <v>"H_HelmetB_light_grass",</v>
      </c>
      <c r="B153" s="18" t="str">
        <f>if(isblank('RHS INPUT'!A153),,CONCATENATE("/*  ",'RHS INPUT'!A153,"  */"))</f>
        <v/>
      </c>
      <c r="C153" s="22" t="str">
        <f>if(isblank(A153),,if('RHS INPUT'!D153=1,Concatenate("class ",'RHS INPUT'!C153),))</f>
        <v>class H_HelmetB_light_grass</v>
      </c>
      <c r="D153" s="27" t="str">
        <f>if(ISBLANK(A153),,if('RHS INPUT'!D153=1,CONCATENATE("{quality = ",'RHS INPUT'!G153,"; price = ",Round('RHS INPUT'!M153),";};"),""))</f>
        <v>{quality = 2; price = 208;};</v>
      </c>
      <c r="E153" t="str">
        <f>IFERROR(__xludf.DUMMYFUNCTION("if(ISBLANK(A153),, if('RHS INPUT'!E153=1,CONCATENATE(CHAR(34),To_Text('RHS INPUT'!C153),CHAR(34),CHAR(44)),""""))"),"""H_HelmetB_light_grass"",")</f>
        <v>"H_HelmetB_light_grass",</v>
      </c>
      <c r="F153" s="28" t="str">
        <f>IF(isblank(A153) ,Concatenate("&gt; ",'RHS INPUT'!A153) , if('RHS INPUT'!F153=1,CONCATENATE(round('RHS INPUT'!N153),Char(44)," ",'RHS INPUT'!C153),""))</f>
        <v>32, H_HelmetB_light_grass</v>
      </c>
    </row>
    <row r="154" ht="12.0" customHeight="1">
      <c r="A154" s="1" t="str">
        <f>IFERROR(__xludf.DUMMYFUNCTION("if(ISBLANK('RHS INPUT'!C154),,CONCATENATE(CHAR(34),To_Text('RHS INPUT'!C154),CHAR(34),CHAR(44)))"),"""H_HelmetB_light_sand"",")</f>
        <v>"H_HelmetB_light_sand",</v>
      </c>
      <c r="B154" s="18" t="str">
        <f>if(isblank('RHS INPUT'!A154),,CONCATENATE("/*  ",'RHS INPUT'!A154,"  */"))</f>
        <v/>
      </c>
      <c r="C154" s="22" t="str">
        <f>if(isblank(A154),,if('RHS INPUT'!D154=1,Concatenate("class ",'RHS INPUT'!C154),))</f>
        <v>class H_HelmetB_light_sand</v>
      </c>
      <c r="D154" s="27" t="str">
        <f>if(ISBLANK(A154),,if('RHS INPUT'!D154=1,CONCATENATE("{quality = ",'RHS INPUT'!G154,"; price = ",Round('RHS INPUT'!M154),";};"),""))</f>
        <v>{quality = 2; price = 208;};</v>
      </c>
      <c r="E154" t="str">
        <f>IFERROR(__xludf.DUMMYFUNCTION("if(ISBLANK(A154),, if('RHS INPUT'!E154=1,CONCATENATE(CHAR(34),To_Text('RHS INPUT'!C154),CHAR(34),CHAR(44)),""""))"),"""H_HelmetB_light_sand"",")</f>
        <v>"H_HelmetB_light_sand",</v>
      </c>
      <c r="F154" s="28" t="str">
        <f>IF(isblank(A154) ,Concatenate("&gt; ",'RHS INPUT'!A154) , if('RHS INPUT'!F154=1,CONCATENATE(round('RHS INPUT'!N154),Char(44)," ",'RHS INPUT'!C154),""))</f>
        <v>32, H_HelmetB_light_sand</v>
      </c>
    </row>
    <row r="155" ht="12.0" customHeight="1">
      <c r="A155" s="1" t="str">
        <f>IFERROR(__xludf.DUMMYFUNCTION("if(ISBLANK('RHS INPUT'!C155),,CONCATENATE(CHAR(34),To_Text('RHS INPUT'!C155),CHAR(34),CHAR(44)))"),"""H_HelmetB_light_snakeskin"",")</f>
        <v>"H_HelmetB_light_snakeskin",</v>
      </c>
      <c r="B155" s="18" t="str">
        <f>if(isblank('RHS INPUT'!A155),,CONCATENATE("/*  ",'RHS INPUT'!A155,"  */"))</f>
        <v/>
      </c>
      <c r="C155" s="22" t="str">
        <f>if(isblank(A155),,if('RHS INPUT'!D155=1,Concatenate("class ",'RHS INPUT'!C155),))</f>
        <v>class H_HelmetB_light_snakeskin</v>
      </c>
      <c r="D155" s="27" t="str">
        <f>if(ISBLANK(A155),,if('RHS INPUT'!D155=1,CONCATENATE("{quality = ",'RHS INPUT'!G155,"; price = ",Round('RHS INPUT'!M155),";};"),""))</f>
        <v>{quality = 2; price = 208;};</v>
      </c>
      <c r="E155" t="str">
        <f>IFERROR(__xludf.DUMMYFUNCTION("if(ISBLANK(A155),, if('RHS INPUT'!E155=1,CONCATENATE(CHAR(34),To_Text('RHS INPUT'!C155),CHAR(34),CHAR(44)),""""))"),"""H_HelmetB_light_snakeskin"",")</f>
        <v>"H_HelmetB_light_snakeskin",</v>
      </c>
      <c r="F155" s="28" t="str">
        <f>IF(isblank(A155) ,Concatenate("&gt; ",'RHS INPUT'!A155) , if('RHS INPUT'!F155=1,CONCATENATE(round('RHS INPUT'!N155),Char(44)," ",'RHS INPUT'!C155),""))</f>
        <v>32, H_HelmetB_light_snakeskin</v>
      </c>
    </row>
    <row r="156" ht="12.0" customHeight="1">
      <c r="A156" s="1" t="str">
        <f>IFERROR(__xludf.DUMMYFUNCTION("if(ISBLANK('RHS INPUT'!C156),,CONCATENATE(CHAR(34),To_Text('RHS INPUT'!C156),CHAR(34),CHAR(44)))"),"""H_HelmetIA"",")</f>
        <v>"H_HelmetIA",</v>
      </c>
      <c r="B156" s="18" t="str">
        <f>if(isblank('RHS INPUT'!A156),,CONCATENATE("/*  ",'RHS INPUT'!A156,"  */"))</f>
        <v/>
      </c>
      <c r="C156" s="22" t="str">
        <f>if(isblank(A156),,if('RHS INPUT'!D156=1,Concatenate("class ",'RHS INPUT'!C156),))</f>
        <v>class H_HelmetIA</v>
      </c>
      <c r="D156" s="27" t="str">
        <f>if(ISBLANK(A156),,if('RHS INPUT'!D156=1,CONCATENATE("{quality = ",'RHS INPUT'!G156,"; price = ",Round('RHS INPUT'!M156),";};"),""))</f>
        <v>{quality = 2; price = 212;};</v>
      </c>
      <c r="E156" t="str">
        <f>IFERROR(__xludf.DUMMYFUNCTION("if(ISBLANK(A156),, if('RHS INPUT'!E156=1,CONCATENATE(CHAR(34),To_Text('RHS INPUT'!C156),CHAR(34),CHAR(44)),""""))"),"""H_HelmetIA"",")</f>
        <v>"H_HelmetIA",</v>
      </c>
      <c r="F156" s="28" t="str">
        <f>IF(isblank(A156) ,Concatenate("&gt; ",'RHS INPUT'!A156) , if('RHS INPUT'!F156=1,CONCATENATE(round('RHS INPUT'!N156),Char(44)," ",'RHS INPUT'!C156),""))</f>
        <v>32, H_HelmetIA</v>
      </c>
    </row>
    <row r="157" ht="12.0" customHeight="1">
      <c r="A157" s="1" t="str">
        <f>IFERROR(__xludf.DUMMYFUNCTION("if(ISBLANK('RHS INPUT'!C157),,CONCATENATE(CHAR(34),To_Text('RHS INPUT'!C157),CHAR(34),CHAR(44)))"),"""H_HelmetIA_camo"",")</f>
        <v>"H_HelmetIA_camo",</v>
      </c>
      <c r="B157" s="18" t="str">
        <f>if(isblank('RHS INPUT'!A157),,CONCATENATE("/*  ",'RHS INPUT'!A157,"  */"))</f>
        <v/>
      </c>
      <c r="C157" s="22" t="str">
        <f>if(isblank(A157),,if('RHS INPUT'!D157=1,Concatenate("class ",'RHS INPUT'!C157),))</f>
        <v>class H_HelmetIA_camo</v>
      </c>
      <c r="D157" s="27" t="str">
        <f>if(ISBLANK(A157),,if('RHS INPUT'!D157=1,CONCATENATE("{quality = ",'RHS INPUT'!G157,"; price = ",Round('RHS INPUT'!M157),";};"),""))</f>
        <v>{quality = 2; price = 212;};</v>
      </c>
      <c r="E157" t="str">
        <f>IFERROR(__xludf.DUMMYFUNCTION("if(ISBLANK(A157),, if('RHS INPUT'!E157=1,CONCATENATE(CHAR(34),To_Text('RHS INPUT'!C157),CHAR(34),CHAR(44)),""""))"),"""H_HelmetIA_camo"",")</f>
        <v>"H_HelmetIA_camo",</v>
      </c>
      <c r="F157" s="28" t="str">
        <f>IF(isblank(A157) ,Concatenate("&gt; ",'RHS INPUT'!A157) , if('RHS INPUT'!F157=1,CONCATENATE(round('RHS INPUT'!N157),Char(44)," ",'RHS INPUT'!C157),""))</f>
        <v>32, H_HelmetIA_camo</v>
      </c>
    </row>
    <row r="158" ht="12.0" customHeight="1">
      <c r="A158" s="1" t="str">
        <f>IFERROR(__xludf.DUMMYFUNCTION("if(ISBLANK('RHS INPUT'!C158),,CONCATENATE(CHAR(34),To_Text('RHS INPUT'!C158),CHAR(34),CHAR(44)))"),"""H_HelmetIA_net"",")</f>
        <v>"H_HelmetIA_net",</v>
      </c>
      <c r="B158" s="18" t="str">
        <f>if(isblank('RHS INPUT'!A158),,CONCATENATE("/*  ",'RHS INPUT'!A158,"  */"))</f>
        <v/>
      </c>
      <c r="C158" s="22" t="str">
        <f>if(isblank(A158),,if('RHS INPUT'!D158=1,Concatenate("class ",'RHS INPUT'!C158),))</f>
        <v>class H_HelmetIA_net</v>
      </c>
      <c r="D158" s="27" t="str">
        <f>if(ISBLANK(A158),,if('RHS INPUT'!D158=1,CONCATENATE("{quality = ",'RHS INPUT'!G158,"; price = ",Round('RHS INPUT'!M158),";};"),""))</f>
        <v>{quality = 2; price = 212;};</v>
      </c>
      <c r="E158" t="str">
        <f>IFERROR(__xludf.DUMMYFUNCTION("if(ISBLANK(A158),, if('RHS INPUT'!E158=1,CONCATENATE(CHAR(34),To_Text('RHS INPUT'!C158),CHAR(34),CHAR(44)),""""))"),"""H_HelmetIA_net"",")</f>
        <v>"H_HelmetIA_net",</v>
      </c>
      <c r="F158" s="28" t="str">
        <f>IF(isblank(A158) ,Concatenate("&gt; ",'RHS INPUT'!A158) , if('RHS INPUT'!F158=1,CONCATENATE(round('RHS INPUT'!N158),Char(44)," ",'RHS INPUT'!C158),""))</f>
        <v>32, H_HelmetIA_net</v>
      </c>
    </row>
    <row r="159" ht="12.0" customHeight="1">
      <c r="A159" s="1" t="str">
        <f>IFERROR(__xludf.DUMMYFUNCTION("if(ISBLANK('RHS INPUT'!C159),,CONCATENATE(CHAR(34),To_Text('RHS INPUT'!C159),CHAR(34),CHAR(44)))"),"""H_HelmetB"",")</f>
        <v>"H_HelmetB",</v>
      </c>
      <c r="B159" s="18" t="str">
        <f>if(isblank('RHS INPUT'!A159),,CONCATENATE("/*  ",'RHS INPUT'!A159,"  */"))</f>
        <v/>
      </c>
      <c r="C159" s="22" t="str">
        <f>if(isblank(A159),,if('RHS INPUT'!D159=1,Concatenate("class ",'RHS INPUT'!C159),))</f>
        <v>class H_HelmetB</v>
      </c>
      <c r="D159" s="27" t="str">
        <f>if(ISBLANK(A159),,if('RHS INPUT'!D159=1,CONCATENATE("{quality = ",'RHS INPUT'!G159,"; price = ",Round('RHS INPUT'!M159),";};"),""))</f>
        <v>{quality = 2; price = 212;};</v>
      </c>
      <c r="E159" t="str">
        <f>IFERROR(__xludf.DUMMYFUNCTION("if(ISBLANK(A159),, if('RHS INPUT'!E159=1,CONCATENATE(CHAR(34),To_Text('RHS INPUT'!C159),CHAR(34),CHAR(44)),""""))"),"""H_HelmetB"",")</f>
        <v>"H_HelmetB",</v>
      </c>
      <c r="F159" s="28" t="str">
        <f>IF(isblank(A159) ,Concatenate("&gt; ",'RHS INPUT'!A159) , if('RHS INPUT'!F159=1,CONCATENATE(round('RHS INPUT'!N159),Char(44)," ",'RHS INPUT'!C159),""))</f>
        <v>32, H_HelmetB</v>
      </c>
    </row>
    <row r="160" ht="12.0" customHeight="1">
      <c r="A160" s="1" t="str">
        <f>IFERROR(__xludf.DUMMYFUNCTION("if(ISBLANK('RHS INPUT'!C160),,CONCATENATE(CHAR(34),To_Text('RHS INPUT'!C160),CHAR(34),CHAR(44)))"),"""H_HelmetB_black"",")</f>
        <v>"H_HelmetB_black",</v>
      </c>
      <c r="B160" s="18" t="str">
        <f>if(isblank('RHS INPUT'!A160),,CONCATENATE("/*  ",'RHS INPUT'!A160,"  */"))</f>
        <v/>
      </c>
      <c r="C160" s="22" t="str">
        <f>if(isblank(A160),,if('RHS INPUT'!D160=1,Concatenate("class ",'RHS INPUT'!C160),))</f>
        <v>class H_HelmetB_black</v>
      </c>
      <c r="D160" s="27" t="str">
        <f>if(ISBLANK(A160),,if('RHS INPUT'!D160=1,CONCATENATE("{quality = ",'RHS INPUT'!G160,"; price = ",Round('RHS INPUT'!M160),";};"),""))</f>
        <v>{quality = 2; price = 212;};</v>
      </c>
      <c r="E160" t="str">
        <f>IFERROR(__xludf.DUMMYFUNCTION("if(ISBLANK(A160),, if('RHS INPUT'!E160=1,CONCATENATE(CHAR(34),To_Text('RHS INPUT'!C160),CHAR(34),CHAR(44)),""""))"),"""H_HelmetB_black"",")</f>
        <v>"H_HelmetB_black",</v>
      </c>
      <c r="F160" s="28" t="str">
        <f>IF(isblank(A160) ,Concatenate("&gt; ",'RHS INPUT'!A160) , if('RHS INPUT'!F160=1,CONCATENATE(round('RHS INPUT'!N160),Char(44)," ",'RHS INPUT'!C160),""))</f>
        <v>32, H_HelmetB_black</v>
      </c>
    </row>
    <row r="161" ht="12.0" customHeight="1">
      <c r="A161" s="1" t="str">
        <f>IFERROR(__xludf.DUMMYFUNCTION("if(ISBLANK('RHS INPUT'!C161),,CONCATENATE(CHAR(34),To_Text('RHS INPUT'!C161),CHAR(34),CHAR(44)))"),"""H_HelmetB_camo"",")</f>
        <v>"H_HelmetB_camo",</v>
      </c>
      <c r="B161" s="18" t="str">
        <f>if(isblank('RHS INPUT'!A161),,CONCATENATE("/*  ",'RHS INPUT'!A161,"  */"))</f>
        <v/>
      </c>
      <c r="C161" s="22" t="str">
        <f>if(isblank(A161),,if('RHS INPUT'!D161=1,Concatenate("class ",'RHS INPUT'!C161),))</f>
        <v>class H_HelmetB_camo</v>
      </c>
      <c r="D161" s="27" t="str">
        <f>if(ISBLANK(A161),,if('RHS INPUT'!D161=1,CONCATENATE("{quality = ",'RHS INPUT'!G161,"; price = ",Round('RHS INPUT'!M161),";};"),""))</f>
        <v>{quality = 2; price = 212;};</v>
      </c>
      <c r="E161" t="str">
        <f>IFERROR(__xludf.DUMMYFUNCTION("if(ISBLANK(A161),, if('RHS INPUT'!E161=1,CONCATENATE(CHAR(34),To_Text('RHS INPUT'!C161),CHAR(34),CHAR(44)),""""))"),"""H_HelmetB_camo"",")</f>
        <v>"H_HelmetB_camo",</v>
      </c>
      <c r="F161" s="28" t="str">
        <f>IF(isblank(A161) ,Concatenate("&gt; ",'RHS INPUT'!A161) , if('RHS INPUT'!F161=1,CONCATENATE(round('RHS INPUT'!N161),Char(44)," ",'RHS INPUT'!C161),""))</f>
        <v>32, H_HelmetB_camo</v>
      </c>
    </row>
    <row r="162" ht="12.0" customHeight="1">
      <c r="A162" s="1" t="str">
        <f>IFERROR(__xludf.DUMMYFUNCTION("if(ISBLANK('RHS INPUT'!C162),,CONCATENATE(CHAR(34),To_Text('RHS INPUT'!C162),CHAR(34),CHAR(44)))"),"""H_HelmetB_desert"",")</f>
        <v>"H_HelmetB_desert",</v>
      </c>
      <c r="B162" s="18" t="str">
        <f>if(isblank('RHS INPUT'!A162),,CONCATENATE("/*  ",'RHS INPUT'!A162,"  */"))</f>
        <v/>
      </c>
      <c r="C162" s="22" t="str">
        <f>if(isblank(A162),,if('RHS INPUT'!D162=1,Concatenate("class ",'RHS INPUT'!C162),))</f>
        <v>class H_HelmetB_desert</v>
      </c>
      <c r="D162" s="27" t="str">
        <f>if(ISBLANK(A162),,if('RHS INPUT'!D162=1,CONCATENATE("{quality = ",'RHS INPUT'!G162,"; price = ",Round('RHS INPUT'!M162),";};"),""))</f>
        <v>{quality = 2; price = 212;};</v>
      </c>
      <c r="E162" t="str">
        <f>IFERROR(__xludf.DUMMYFUNCTION("if(ISBLANK(A162),, if('RHS INPUT'!E162=1,CONCATENATE(CHAR(34),To_Text('RHS INPUT'!C162),CHAR(34),CHAR(44)),""""))"),"""H_HelmetB_desert"",")</f>
        <v>"H_HelmetB_desert",</v>
      </c>
      <c r="F162" s="28" t="str">
        <f>IF(isblank(A162) ,Concatenate("&gt; ",'RHS INPUT'!A162) , if('RHS INPUT'!F162=1,CONCATENATE(round('RHS INPUT'!N162),Char(44)," ",'RHS INPUT'!C162),""))</f>
        <v>32, H_HelmetB_desert</v>
      </c>
    </row>
    <row r="163" ht="12.0" customHeight="1">
      <c r="A163" s="1" t="str">
        <f>IFERROR(__xludf.DUMMYFUNCTION("if(ISBLANK('RHS INPUT'!C163),,CONCATENATE(CHAR(34),To_Text('RHS INPUT'!C163),CHAR(34),CHAR(44)))"),"""H_HelmetB_grass"",")</f>
        <v>"H_HelmetB_grass",</v>
      </c>
      <c r="B163" s="18" t="str">
        <f>if(isblank('RHS INPUT'!A163),,CONCATENATE("/*  ",'RHS INPUT'!A163,"  */"))</f>
        <v/>
      </c>
      <c r="C163" s="22" t="str">
        <f>if(isblank(A163),,if('RHS INPUT'!D163=1,Concatenate("class ",'RHS INPUT'!C163),))</f>
        <v>class H_HelmetB_grass</v>
      </c>
      <c r="D163" s="27" t="str">
        <f>if(ISBLANK(A163),,if('RHS INPUT'!D163=1,CONCATENATE("{quality = ",'RHS INPUT'!G163,"; price = ",Round('RHS INPUT'!M163),";};"),""))</f>
        <v>{quality = 2; price = 212;};</v>
      </c>
      <c r="E163" t="str">
        <f>IFERROR(__xludf.DUMMYFUNCTION("if(ISBLANK(A163),, if('RHS INPUT'!E163=1,CONCATENATE(CHAR(34),To_Text('RHS INPUT'!C163),CHAR(34),CHAR(44)),""""))"),"""H_HelmetB_grass"",")</f>
        <v>"H_HelmetB_grass",</v>
      </c>
      <c r="F163" s="28" t="str">
        <f>IF(isblank(A163) ,Concatenate("&gt; ",'RHS INPUT'!A163) , if('RHS INPUT'!F163=1,CONCATENATE(round('RHS INPUT'!N163),Char(44)," ",'RHS INPUT'!C163),""))</f>
        <v>32, H_HelmetB_grass</v>
      </c>
    </row>
    <row r="164" ht="12.0" customHeight="1">
      <c r="A164" s="1" t="str">
        <f>IFERROR(__xludf.DUMMYFUNCTION("if(ISBLANK('RHS INPUT'!C164),,CONCATENATE(CHAR(34),To_Text('RHS INPUT'!C164),CHAR(34),CHAR(44)))"),"""H_HelmetB_paint"",")</f>
        <v>"H_HelmetB_paint",</v>
      </c>
      <c r="B164" s="18" t="str">
        <f>if(isblank('RHS INPUT'!A164),,CONCATENATE("/*  ",'RHS INPUT'!A164,"  */"))</f>
        <v/>
      </c>
      <c r="C164" s="22" t="str">
        <f>if(isblank(A164),,if('RHS INPUT'!D164=1,Concatenate("class ",'RHS INPUT'!C164),))</f>
        <v>class H_HelmetB_paint</v>
      </c>
      <c r="D164" s="27" t="str">
        <f>if(ISBLANK(A164),,if('RHS INPUT'!D164=1,CONCATENATE("{quality = ",'RHS INPUT'!G164,"; price = ",Round('RHS INPUT'!M164),";};"),""))</f>
        <v>{quality = 2; price = 212;};</v>
      </c>
      <c r="E164" t="str">
        <f>IFERROR(__xludf.DUMMYFUNCTION("if(ISBLANK(A164),, if('RHS INPUT'!E164=1,CONCATENATE(CHAR(34),To_Text('RHS INPUT'!C164),CHAR(34),CHAR(44)),""""))"),"""H_HelmetB_paint"",")</f>
        <v>"H_HelmetB_paint",</v>
      </c>
      <c r="F164" s="28" t="str">
        <f>IF(isblank(A164) ,Concatenate("&gt; ",'RHS INPUT'!A164) , if('RHS INPUT'!F164=1,CONCATENATE(round('RHS INPUT'!N164),Char(44)," ",'RHS INPUT'!C164),""))</f>
        <v>32, H_HelmetB_paint</v>
      </c>
    </row>
    <row r="165" ht="12.0" customHeight="1">
      <c r="A165" s="1" t="str">
        <f>IFERROR(__xludf.DUMMYFUNCTION("if(ISBLANK('RHS INPUT'!C165),,CONCATENATE(CHAR(34),To_Text('RHS INPUT'!C165),CHAR(34),CHAR(44)))"),"""H_HelmetB_plain_blk"",")</f>
        <v>"H_HelmetB_plain_blk",</v>
      </c>
      <c r="B165" s="18" t="str">
        <f>if(isblank('RHS INPUT'!A165),,CONCATENATE("/*  ",'RHS INPUT'!A165,"  */"))</f>
        <v/>
      </c>
      <c r="C165" s="22" t="str">
        <f>if(isblank(A165),,if('RHS INPUT'!D165=1,Concatenate("class ",'RHS INPUT'!C165),))</f>
        <v>class H_HelmetB_plain_blk</v>
      </c>
      <c r="D165" s="27" t="str">
        <f>if(ISBLANK(A165),,if('RHS INPUT'!D165=1,CONCATENATE("{quality = ",'RHS INPUT'!G165,"; price = ",Round('RHS INPUT'!M165),";};"),""))</f>
        <v>{quality = 2; price = 212;};</v>
      </c>
      <c r="E165" t="str">
        <f>IFERROR(__xludf.DUMMYFUNCTION("if(ISBLANK(A165),, if('RHS INPUT'!E165=1,CONCATENATE(CHAR(34),To_Text('RHS INPUT'!C165),CHAR(34),CHAR(44)),""""))"),"""H_HelmetB_plain_blk"",")</f>
        <v>"H_HelmetB_plain_blk",</v>
      </c>
      <c r="F165" s="28" t="str">
        <f>IF(isblank(A165) ,Concatenate("&gt; ",'RHS INPUT'!A165) , if('RHS INPUT'!F165=1,CONCATENATE(round('RHS INPUT'!N165),Char(44)," ",'RHS INPUT'!C165),""))</f>
        <v>32, H_HelmetB_plain_blk</v>
      </c>
    </row>
    <row r="166" ht="12.0" customHeight="1">
      <c r="A166" s="1" t="str">
        <f>IFERROR(__xludf.DUMMYFUNCTION("if(ISBLANK('RHS INPUT'!C166),,CONCATENATE(CHAR(34),To_Text('RHS INPUT'!C166),CHAR(34),CHAR(44)))"),"""H_HelmetB_sand"",")</f>
        <v>"H_HelmetB_sand",</v>
      </c>
      <c r="B166" s="18" t="str">
        <f>if(isblank('RHS INPUT'!A166),,CONCATENATE("/*  ",'RHS INPUT'!A166,"  */"))</f>
        <v/>
      </c>
      <c r="C166" s="22" t="str">
        <f>if(isblank(A166),,if('RHS INPUT'!D166=1,Concatenate("class ",'RHS INPUT'!C166),))</f>
        <v>class H_HelmetB_sand</v>
      </c>
      <c r="D166" s="27" t="str">
        <f>if(ISBLANK(A166),,if('RHS INPUT'!D166=1,CONCATENATE("{quality = ",'RHS INPUT'!G166,"; price = ",Round('RHS INPUT'!M166),";};"),""))</f>
        <v>{quality = 2; price = 212;};</v>
      </c>
      <c r="E166" t="str">
        <f>IFERROR(__xludf.DUMMYFUNCTION("if(ISBLANK(A166),, if('RHS INPUT'!E166=1,CONCATENATE(CHAR(34),To_Text('RHS INPUT'!C166),CHAR(34),CHAR(44)),""""))"),"""H_HelmetB_sand"",")</f>
        <v>"H_HelmetB_sand",</v>
      </c>
      <c r="F166" s="28" t="str">
        <f>IF(isblank(A166) ,Concatenate("&gt; ",'RHS INPUT'!A166) , if('RHS INPUT'!F166=1,CONCATENATE(round('RHS INPUT'!N166),Char(44)," ",'RHS INPUT'!C166),""))</f>
        <v>32, H_HelmetB_sand</v>
      </c>
    </row>
    <row r="167" ht="12.0" customHeight="1">
      <c r="A167" s="1" t="str">
        <f>IFERROR(__xludf.DUMMYFUNCTION("if(ISBLANK('RHS INPUT'!C167),,CONCATENATE(CHAR(34),To_Text('RHS INPUT'!C167),CHAR(34),CHAR(44)))"),"""H_HelmetB_snakeskin"",")</f>
        <v>"H_HelmetB_snakeskin",</v>
      </c>
      <c r="B167" s="18" t="str">
        <f>if(isblank('RHS INPUT'!A167),,CONCATENATE("/*  ",'RHS INPUT'!A167,"  */"))</f>
        <v/>
      </c>
      <c r="C167" s="22" t="str">
        <f>if(isblank(A167),,if('RHS INPUT'!D167=1,Concatenate("class ",'RHS INPUT'!C167),))</f>
        <v>class H_HelmetB_snakeskin</v>
      </c>
      <c r="D167" s="27" t="str">
        <f>if(ISBLANK(A167),,if('RHS INPUT'!D167=1,CONCATENATE("{quality = ",'RHS INPUT'!G167,"; price = ",Round('RHS INPUT'!M167),";};"),""))</f>
        <v>{quality = 2; price = 212;};</v>
      </c>
      <c r="E167" t="str">
        <f>IFERROR(__xludf.DUMMYFUNCTION("if(ISBLANK(A167),, if('RHS INPUT'!E167=1,CONCATENATE(CHAR(34),To_Text('RHS INPUT'!C167),CHAR(34),CHAR(44)),""""))"),"""H_HelmetB_snakeskin"",")</f>
        <v>"H_HelmetB_snakeskin",</v>
      </c>
      <c r="F167" s="28" t="str">
        <f>IF(isblank(A167) ,Concatenate("&gt; ",'RHS INPUT'!A167) , if('RHS INPUT'!F167=1,CONCATENATE(round('RHS INPUT'!N167),Char(44)," ",'RHS INPUT'!C167),""))</f>
        <v>32, H_HelmetB_snakeskin</v>
      </c>
    </row>
    <row r="168" ht="12.0" customHeight="1">
      <c r="A168" s="1" t="str">
        <f>IFERROR(__xludf.DUMMYFUNCTION("if(ISBLANK('RHS INPUT'!C168),,CONCATENATE(CHAR(34),To_Text('RHS INPUT'!C168),CHAR(34),CHAR(44)))"),"""H_HelmetSpecB"",")</f>
        <v>"H_HelmetSpecB",</v>
      </c>
      <c r="B168" s="18" t="str">
        <f>if(isblank('RHS INPUT'!A168),,CONCATENATE("/*  ",'RHS INPUT'!A168,"  */"))</f>
        <v/>
      </c>
      <c r="C168" s="22" t="str">
        <f>if(isblank(A168),,if('RHS INPUT'!D168=1,Concatenate("class ",'RHS INPUT'!C168),))</f>
        <v>class H_HelmetSpecB</v>
      </c>
      <c r="D168" s="27" t="str">
        <f>if(ISBLANK(A168),,if('RHS INPUT'!D168=1,CONCATENATE("{quality = ",'RHS INPUT'!G168,"; price = ",Round('RHS INPUT'!M168),";};"),""))</f>
        <v>{quality = 2; price = 220;};</v>
      </c>
      <c r="E168" t="str">
        <f>IFERROR(__xludf.DUMMYFUNCTION("if(ISBLANK(A168),, if('RHS INPUT'!E168=1,CONCATENATE(CHAR(34),To_Text('RHS INPUT'!C168),CHAR(34),CHAR(44)),""""))"),"""H_HelmetSpecB"",")</f>
        <v>"H_HelmetSpecB",</v>
      </c>
      <c r="F168" s="28" t="str">
        <f>IF(isblank(A168) ,Concatenate("&gt; ",'RHS INPUT'!A168) , if('RHS INPUT'!F168=1,CONCATENATE(round('RHS INPUT'!N168),Char(44)," ",'RHS INPUT'!C168),""))</f>
        <v>31, H_HelmetSpecB</v>
      </c>
    </row>
    <row r="169" ht="12.0" customHeight="1">
      <c r="A169" s="1" t="str">
        <f>IFERROR(__xludf.DUMMYFUNCTION("if(ISBLANK('RHS INPUT'!C169),,CONCATENATE(CHAR(34),To_Text('RHS INPUT'!C169),CHAR(34),CHAR(44)))"),"""H_HelmetSpecB_blk"",")</f>
        <v>"H_HelmetSpecB_blk",</v>
      </c>
      <c r="B169" s="18" t="str">
        <f>if(isblank('RHS INPUT'!A169),,CONCATENATE("/*  ",'RHS INPUT'!A169,"  */"))</f>
        <v/>
      </c>
      <c r="C169" s="22" t="str">
        <f>if(isblank(A169),,if('RHS INPUT'!D169=1,Concatenate("class ",'RHS INPUT'!C169),))</f>
        <v>class H_HelmetSpecB_blk</v>
      </c>
      <c r="D169" s="27" t="str">
        <f>if(ISBLANK(A169),,if('RHS INPUT'!D169=1,CONCATENATE("{quality = ",'RHS INPUT'!G169,"; price = ",Round('RHS INPUT'!M169),";};"),""))</f>
        <v>{quality = 2; price = 220;};</v>
      </c>
      <c r="E169" t="str">
        <f>IFERROR(__xludf.DUMMYFUNCTION("if(ISBLANK(A169),, if('RHS INPUT'!E169=1,CONCATENATE(CHAR(34),To_Text('RHS INPUT'!C169),CHAR(34),CHAR(44)),""""))"),"""H_HelmetSpecB_blk"",")</f>
        <v>"H_HelmetSpecB_blk",</v>
      </c>
      <c r="F169" s="28" t="str">
        <f>IF(isblank(A169) ,Concatenate("&gt; ",'RHS INPUT'!A169) , if('RHS INPUT'!F169=1,CONCATENATE(round('RHS INPUT'!N169),Char(44)," ",'RHS INPUT'!C169),""))</f>
        <v>31, H_HelmetSpecB_blk</v>
      </c>
    </row>
    <row r="170" ht="12.0" customHeight="1">
      <c r="A170" s="1" t="str">
        <f>IFERROR(__xludf.DUMMYFUNCTION("if(ISBLANK('RHS INPUT'!C170),,CONCATENATE(CHAR(34),To_Text('RHS INPUT'!C170),CHAR(34),CHAR(44)))"),"""H_HelmetSpecB_paint1"",")</f>
        <v>"H_HelmetSpecB_paint1",</v>
      </c>
      <c r="B170" s="18" t="str">
        <f>if(isblank('RHS INPUT'!A170),,CONCATENATE("/*  ",'RHS INPUT'!A170,"  */"))</f>
        <v/>
      </c>
      <c r="C170" s="22" t="str">
        <f>if(isblank(A170),,if('RHS INPUT'!D170=1,Concatenate("class ",'RHS INPUT'!C170),))</f>
        <v>class H_HelmetSpecB_paint1</v>
      </c>
      <c r="D170" s="27" t="str">
        <f>if(ISBLANK(A170),,if('RHS INPUT'!D170=1,CONCATENATE("{quality = ",'RHS INPUT'!G170,"; price = ",Round('RHS INPUT'!M170),";};"),""))</f>
        <v>{quality = 2; price = 220;};</v>
      </c>
      <c r="E170" t="str">
        <f>IFERROR(__xludf.DUMMYFUNCTION("if(ISBLANK(A170),, if('RHS INPUT'!E170=1,CONCATENATE(CHAR(34),To_Text('RHS INPUT'!C170),CHAR(34),CHAR(44)),""""))"),"""H_HelmetSpecB_paint1"",")</f>
        <v>"H_HelmetSpecB_paint1",</v>
      </c>
      <c r="F170" s="28" t="str">
        <f>IF(isblank(A170) ,Concatenate("&gt; ",'RHS INPUT'!A170) , if('RHS INPUT'!F170=1,CONCATENATE(round('RHS INPUT'!N170),Char(44)," ",'RHS INPUT'!C170),""))</f>
        <v>31, H_HelmetSpecB_paint1</v>
      </c>
    </row>
    <row r="171" ht="12.0" customHeight="1">
      <c r="A171" s="1" t="str">
        <f>IFERROR(__xludf.DUMMYFUNCTION("if(ISBLANK('RHS INPUT'!C171),,CONCATENATE(CHAR(34),To_Text('RHS INPUT'!C171),CHAR(34),CHAR(44)))"),"""H_HelmetSpecB_paint2"",")</f>
        <v>"H_HelmetSpecB_paint2",</v>
      </c>
      <c r="B171" s="18" t="str">
        <f>if(isblank('RHS INPUT'!A171),,CONCATENATE("/*  ",'RHS INPUT'!A171,"  */"))</f>
        <v/>
      </c>
      <c r="C171" s="22" t="str">
        <f>if(isblank(A171),,if('RHS INPUT'!D171=1,Concatenate("class ",'RHS INPUT'!C171),))</f>
        <v>class H_HelmetSpecB_paint2</v>
      </c>
      <c r="D171" s="27" t="str">
        <f>if(ISBLANK(A171),,if('RHS INPUT'!D171=1,CONCATENATE("{quality = ",'RHS INPUT'!G171,"; price = ",Round('RHS INPUT'!M171),";};"),""))</f>
        <v>{quality = 2; price = 220;};</v>
      </c>
      <c r="E171" t="str">
        <f>IFERROR(__xludf.DUMMYFUNCTION("if(ISBLANK(A171),, if('RHS INPUT'!E171=1,CONCATENATE(CHAR(34),To_Text('RHS INPUT'!C171),CHAR(34),CHAR(44)),""""))"),"""H_HelmetSpecB_paint2"",")</f>
        <v>"H_HelmetSpecB_paint2",</v>
      </c>
      <c r="F171" s="28" t="str">
        <f>IF(isblank(A171) ,Concatenate("&gt; ",'RHS INPUT'!A171) , if('RHS INPUT'!F171=1,CONCATENATE(round('RHS INPUT'!N171),Char(44)," ",'RHS INPUT'!C171),""))</f>
        <v>31, H_HelmetSpecB_paint2</v>
      </c>
    </row>
    <row r="172" ht="12.0" customHeight="1">
      <c r="A172" s="1" t="str">
        <f>IFERROR(__xludf.DUMMYFUNCTION("if(ISBLANK('RHS INPUT'!C172),,CONCATENATE(CHAR(34),To_Text('RHS INPUT'!C172),CHAR(34),CHAR(44)))"),"""H_HelmetO_ocamo"",")</f>
        <v>"H_HelmetO_ocamo",</v>
      </c>
      <c r="B172" s="18" t="str">
        <f>if(isblank('RHS INPUT'!A172),,CONCATENATE("/*  ",'RHS INPUT'!A172,"  */"))</f>
        <v/>
      </c>
      <c r="C172" s="22" t="str">
        <f>if(isblank(A172),,if('RHS INPUT'!D172=1,Concatenate("class ",'RHS INPUT'!C172),))</f>
        <v>class H_HelmetO_ocamo</v>
      </c>
      <c r="D172" s="27" t="str">
        <f>if(ISBLANK(A172),,if('RHS INPUT'!D172=1,CONCATENATE("{quality = ",'RHS INPUT'!G172,"; price = ",Round('RHS INPUT'!M172),";};"),""))</f>
        <v>{quality = 3; price = 316;};</v>
      </c>
      <c r="E172" t="str">
        <f>IFERROR(__xludf.DUMMYFUNCTION("if(ISBLANK(A172),, if('RHS INPUT'!E172=1,CONCATENATE(CHAR(34),To_Text('RHS INPUT'!C172),CHAR(34),CHAR(44)),""""))"),"""H_HelmetO_ocamo"",")</f>
        <v>"H_HelmetO_ocamo",</v>
      </c>
      <c r="F172" s="28" t="str">
        <f>IF(isblank(A172) ,Concatenate("&gt; ",'RHS INPUT'!A172) , if('RHS INPUT'!F172=1,CONCATENATE(round('RHS INPUT'!N172),Char(44)," ",'RHS INPUT'!C172),""))</f>
        <v>24, H_HelmetO_ocamo</v>
      </c>
    </row>
    <row r="173" ht="12.0" customHeight="1">
      <c r="A173" s="1" t="str">
        <f>IFERROR(__xludf.DUMMYFUNCTION("if(ISBLANK('RHS INPUT'!C173),,CONCATENATE(CHAR(34),To_Text('RHS INPUT'!C173),CHAR(34),CHAR(44)))"),"""H_HelmetO_oucamo"",")</f>
        <v>"H_HelmetO_oucamo",</v>
      </c>
      <c r="B173" s="18" t="str">
        <f>if(isblank('RHS INPUT'!A173),,CONCATENATE("/*  ",'RHS INPUT'!A173,"  */"))</f>
        <v/>
      </c>
      <c r="C173" s="22" t="str">
        <f>if(isblank(A173),,if('RHS INPUT'!D173=1,Concatenate("class ",'RHS INPUT'!C173),))</f>
        <v>class H_HelmetO_oucamo</v>
      </c>
      <c r="D173" s="27" t="str">
        <f>if(ISBLANK(A173),,if('RHS INPUT'!D173=1,CONCATENATE("{quality = ",'RHS INPUT'!G173,"; price = ",Round('RHS INPUT'!M173),";};"),""))</f>
        <v>{quality = 3; price = 316;};</v>
      </c>
      <c r="E173" t="str">
        <f>IFERROR(__xludf.DUMMYFUNCTION("if(ISBLANK(A173),, if('RHS INPUT'!E173=1,CONCATENATE(CHAR(34),To_Text('RHS INPUT'!C173),CHAR(34),CHAR(44)),""""))"),"""H_HelmetO_oucamo"",")</f>
        <v>"H_HelmetO_oucamo",</v>
      </c>
      <c r="F173" s="28" t="str">
        <f>IF(isblank(A173) ,Concatenate("&gt; ",'RHS INPUT'!A173) , if('RHS INPUT'!F173=1,CONCATENATE(round('RHS INPUT'!N173),Char(44)," ",'RHS INPUT'!C173),""))</f>
        <v>24, H_HelmetO_oucamo</v>
      </c>
    </row>
    <row r="174" ht="12.0" customHeight="1">
      <c r="A174" s="1" t="str">
        <f>IFERROR(__xludf.DUMMYFUNCTION("if(ISBLANK('RHS INPUT'!C174),,CONCATENATE(CHAR(34),To_Text('RHS INPUT'!C174),CHAR(34),CHAR(44)))"),"""H_HelmetSpecO_blk"",")</f>
        <v>"H_HelmetSpecO_blk",</v>
      </c>
      <c r="B174" s="18" t="str">
        <f>if(isblank('RHS INPUT'!A174),,CONCATENATE("/*  ",'RHS INPUT'!A174,"  */"))</f>
        <v/>
      </c>
      <c r="C174" s="22" t="str">
        <f>if(isblank(A174),,if('RHS INPUT'!D174=1,Concatenate("class ",'RHS INPUT'!C174),))</f>
        <v>class H_HelmetSpecO_blk</v>
      </c>
      <c r="D174" s="27" t="str">
        <f>if(ISBLANK(A174),,if('RHS INPUT'!D174=1,CONCATENATE("{quality = ",'RHS INPUT'!G174,"; price = ",Round('RHS INPUT'!M174),";};"),""))</f>
        <v>{quality = 3; price = 320;};</v>
      </c>
      <c r="E174" t="str">
        <f>IFERROR(__xludf.DUMMYFUNCTION("if(ISBLANK(A174),, if('RHS INPUT'!E174=1,CONCATENATE(CHAR(34),To_Text('RHS INPUT'!C174),CHAR(34),CHAR(44)),""""))"),"""H_HelmetSpecO_blk"",")</f>
        <v>"H_HelmetSpecO_blk",</v>
      </c>
      <c r="F174" s="28" t="str">
        <f>IF(isblank(A174) ,Concatenate("&gt; ",'RHS INPUT'!A174) , if('RHS INPUT'!F174=1,CONCATENATE(round('RHS INPUT'!N174),Char(44)," ",'RHS INPUT'!C174),""))</f>
        <v>24, H_HelmetSpecO_blk</v>
      </c>
    </row>
    <row r="175" ht="12.0" customHeight="1">
      <c r="A175" s="1" t="str">
        <f>IFERROR(__xludf.DUMMYFUNCTION("if(ISBLANK('RHS INPUT'!C175),,CONCATENATE(CHAR(34),To_Text('RHS INPUT'!C175),CHAR(34),CHAR(44)))"),"""H_HelmetSpecO_ocamo"",")</f>
        <v>"H_HelmetSpecO_ocamo",</v>
      </c>
      <c r="B175" s="18" t="str">
        <f>if(isblank('RHS INPUT'!A175),,CONCATENATE("/*  ",'RHS INPUT'!A175,"  */"))</f>
        <v/>
      </c>
      <c r="C175" s="22" t="str">
        <f>if(isblank(A175),,if('RHS INPUT'!D175=1,Concatenate("class ",'RHS INPUT'!C175),))</f>
        <v>class H_HelmetSpecO_ocamo</v>
      </c>
      <c r="D175" s="27" t="str">
        <f>if(ISBLANK(A175),,if('RHS INPUT'!D175=1,CONCATENATE("{quality = ",'RHS INPUT'!G175,"; price = ",Round('RHS INPUT'!M175),";};"),""))</f>
        <v>{quality = 3; price = 320;};</v>
      </c>
      <c r="E175" t="str">
        <f>IFERROR(__xludf.DUMMYFUNCTION("if(ISBLANK(A175),, if('RHS INPUT'!E175=1,CONCATENATE(CHAR(34),To_Text('RHS INPUT'!C175),CHAR(34),CHAR(44)),""""))"),"""H_HelmetSpecO_ocamo"",")</f>
        <v>"H_HelmetSpecO_ocamo",</v>
      </c>
      <c r="F175" s="28" t="str">
        <f>IF(isblank(A175) ,Concatenate("&gt; ",'RHS INPUT'!A175) , if('RHS INPUT'!F175=1,CONCATENATE(round('RHS INPUT'!N175),Char(44)," ",'RHS INPUT'!C175),""))</f>
        <v>24, H_HelmetSpecO_ocamo</v>
      </c>
    </row>
    <row r="176" ht="12.0" customHeight="1">
      <c r="A176" s="1" t="str">
        <f>IFERROR(__xludf.DUMMYFUNCTION("if(ISBLANK('RHS INPUT'!C176),,CONCATENATE(CHAR(34),To_Text('RHS INPUT'!C176),CHAR(34),CHAR(44)))"),"""H_HelmetLeaderO_ocamo"",")</f>
        <v>"H_HelmetLeaderO_ocamo",</v>
      </c>
      <c r="B176" s="18" t="str">
        <f>if(isblank('RHS INPUT'!A176),,CONCATENATE("/*  ",'RHS INPUT'!A176,"  */"))</f>
        <v/>
      </c>
      <c r="C176" s="22" t="str">
        <f>if(isblank(A176),,if('RHS INPUT'!D176=1,Concatenate("class ",'RHS INPUT'!C176),))</f>
        <v>class H_HelmetLeaderO_ocamo</v>
      </c>
      <c r="D176" s="27" t="str">
        <f>if(ISBLANK(A176),,if('RHS INPUT'!D176=1,CONCATENATE("{quality = ",'RHS INPUT'!G176,"; price = ",Round('RHS INPUT'!M176),";};"),""))</f>
        <v>{quality = 3; price = 324;};</v>
      </c>
      <c r="E176" t="str">
        <f>IFERROR(__xludf.DUMMYFUNCTION("if(ISBLANK(A176),, if('RHS INPUT'!E176=1,CONCATENATE(CHAR(34),To_Text('RHS INPUT'!C176),CHAR(34),CHAR(44)),""""))"),"""H_HelmetLeaderO_ocamo"",")</f>
        <v>"H_HelmetLeaderO_ocamo",</v>
      </c>
      <c r="F176" s="28" t="str">
        <f>IF(isblank(A176) ,Concatenate("&gt; ",'RHS INPUT'!A176) , if('RHS INPUT'!F176=1,CONCATENATE(round('RHS INPUT'!N176),Char(44)," ",'RHS INPUT'!C176),""))</f>
        <v>24, H_HelmetLeaderO_ocamo</v>
      </c>
    </row>
    <row r="177" ht="12.0" customHeight="1">
      <c r="A177" s="1" t="str">
        <f>IFERROR(__xludf.DUMMYFUNCTION("if(ISBLANK('RHS INPUT'!C177),,CONCATENATE(CHAR(34),To_Text('RHS INPUT'!C177),CHAR(34),CHAR(44)))"),"""H_HelmetLeaderO_oucamo"",")</f>
        <v>"H_HelmetLeaderO_oucamo",</v>
      </c>
      <c r="B177" s="18" t="str">
        <f>if(isblank('RHS INPUT'!A177),,CONCATENATE("/*  ",'RHS INPUT'!A177,"  */"))</f>
        <v/>
      </c>
      <c r="C177" s="22" t="str">
        <f>if(isblank(A177),,if('RHS INPUT'!D177=1,Concatenate("class ",'RHS INPUT'!C177),))</f>
        <v>class H_HelmetLeaderO_oucamo</v>
      </c>
      <c r="D177" s="27" t="str">
        <f>if(ISBLANK(A177),,if('RHS INPUT'!D177=1,CONCATENATE("{quality = ",'RHS INPUT'!G177,"; price = ",Round('RHS INPUT'!M177),";};"),""))</f>
        <v>{quality = 3; price = 324;};</v>
      </c>
      <c r="E177" t="str">
        <f>IFERROR(__xludf.DUMMYFUNCTION("if(ISBLANK(A177),, if('RHS INPUT'!E177=1,CONCATENATE(CHAR(34),To_Text('RHS INPUT'!C177),CHAR(34),CHAR(44)),""""))"),"""H_HelmetLeaderO_oucamo"",")</f>
        <v>"H_HelmetLeaderO_oucamo",</v>
      </c>
      <c r="F177" s="28" t="str">
        <f>IF(isblank(A177) ,Concatenate("&gt; ",'RHS INPUT'!A177) , if('RHS INPUT'!F177=1,CONCATENATE(round('RHS INPUT'!N177),Char(44)," ",'RHS INPUT'!C177),""))</f>
        <v>24, H_HelmetLeaderO_oucamo</v>
      </c>
    </row>
    <row r="178" ht="12.0" customHeight="1">
      <c r="A178" s="1" t="str">
        <f>IFERROR(__xludf.DUMMYFUNCTION("if(ISBLANK('RHS INPUT'!C178),,CONCATENATE(CHAR(34),To_Text('RHS INPUT'!C178),CHAR(34),CHAR(44)))"),"""H_CrewHelmetHeli_B"",")</f>
        <v>"H_CrewHelmetHeli_B",</v>
      </c>
      <c r="B178" s="18" t="str">
        <f>if(isblank('RHS INPUT'!A178),,CONCATENATE("/*  ",'RHS INPUT'!A178,"  */"))</f>
        <v/>
      </c>
      <c r="C178" s="22" t="str">
        <f>if(isblank(A178),,if('RHS INPUT'!D178=1,Concatenate("class ",'RHS INPUT'!C178),))</f>
        <v>class H_CrewHelmetHeli_B</v>
      </c>
      <c r="D178" s="27" t="str">
        <f>if(ISBLANK(A178),,if('RHS INPUT'!D178=1,CONCATENATE("{quality = ",'RHS INPUT'!G178,"; price = ",Round('RHS INPUT'!M178),";};"),""))</f>
        <v>{quality = 3; price = 470;};</v>
      </c>
      <c r="E178" t="str">
        <f>IFERROR(__xludf.DUMMYFUNCTION("if(ISBLANK(A178),, if('RHS INPUT'!E178=1,CONCATENATE(CHAR(34),To_Text('RHS INPUT'!C178),CHAR(34),CHAR(44)),""""))"),"""H_CrewHelmetHeli_B"",")</f>
        <v>"H_CrewHelmetHeli_B",</v>
      </c>
      <c r="F178" s="28" t="str">
        <f>IF(isblank(A178) ,Concatenate("&gt; ",'RHS INPUT'!A178) , if('RHS INPUT'!F178=1,CONCATENATE(round('RHS INPUT'!N178),Char(44)," ",'RHS INPUT'!C178),""))</f>
        <v>18, H_CrewHelmetHeli_B</v>
      </c>
    </row>
    <row r="179" ht="12.0" customHeight="1">
      <c r="A179" s="1" t="str">
        <f>IFERROR(__xludf.DUMMYFUNCTION("if(ISBLANK('RHS INPUT'!C179),,CONCATENATE(CHAR(34),To_Text('RHS INPUT'!C179),CHAR(34),CHAR(44)))"),"""H_CrewHelmetHeli_I"",")</f>
        <v>"H_CrewHelmetHeli_I",</v>
      </c>
      <c r="B179" s="18" t="str">
        <f>if(isblank('RHS INPUT'!A179),,CONCATENATE("/*  ",'RHS INPUT'!A179,"  */"))</f>
        <v/>
      </c>
      <c r="C179" s="22" t="str">
        <f>if(isblank(A179),,if('RHS INPUT'!D179=1,Concatenate("class ",'RHS INPUT'!C179),))</f>
        <v>class H_CrewHelmetHeli_I</v>
      </c>
      <c r="D179" s="27" t="str">
        <f>if(ISBLANK(A179),,if('RHS INPUT'!D179=1,CONCATENATE("{quality = ",'RHS INPUT'!G179,"; price = ",Round('RHS INPUT'!M179),";};"),""))</f>
        <v>{quality = 3; price = 470;};</v>
      </c>
      <c r="E179" t="str">
        <f>IFERROR(__xludf.DUMMYFUNCTION("if(ISBLANK(A179),, if('RHS INPUT'!E179=1,CONCATENATE(CHAR(34),To_Text('RHS INPUT'!C179),CHAR(34),CHAR(44)),""""))"),"""H_CrewHelmetHeli_I"",")</f>
        <v>"H_CrewHelmetHeli_I",</v>
      </c>
      <c r="F179" s="28" t="str">
        <f>IF(isblank(A179) ,Concatenate("&gt; ",'RHS INPUT'!A179) , if('RHS INPUT'!F179=1,CONCATENATE(round('RHS INPUT'!N179),Char(44)," ",'RHS INPUT'!C179),""))</f>
        <v>18, H_CrewHelmetHeli_I</v>
      </c>
    </row>
    <row r="180" ht="12.0" customHeight="1">
      <c r="A180" s="1" t="str">
        <f>IFERROR(__xludf.DUMMYFUNCTION("if(ISBLANK('RHS INPUT'!C180),,CONCATENATE(CHAR(34),To_Text('RHS INPUT'!C180),CHAR(34),CHAR(44)))"),"""H_CrewHelmetHeli_O"",")</f>
        <v>"H_CrewHelmetHeli_O",</v>
      </c>
      <c r="B180" s="18" t="str">
        <f>if(isblank('RHS INPUT'!A180),,CONCATENATE("/*  ",'RHS INPUT'!A180,"  */"))</f>
        <v/>
      </c>
      <c r="C180" s="22" t="str">
        <f>if(isblank(A180),,if('RHS INPUT'!D180=1,Concatenate("class ",'RHS INPUT'!C180),))</f>
        <v>class H_CrewHelmetHeli_O</v>
      </c>
      <c r="D180" s="27" t="str">
        <f>if(ISBLANK(A180),,if('RHS INPUT'!D180=1,CONCATENATE("{quality = ",'RHS INPUT'!G180,"; price = ",Round('RHS INPUT'!M180),";};"),""))</f>
        <v>{quality = 3; price = 470;};</v>
      </c>
      <c r="E180" t="str">
        <f>IFERROR(__xludf.DUMMYFUNCTION("if(ISBLANK(A180),, if('RHS INPUT'!E180=1,CONCATENATE(CHAR(34),To_Text('RHS INPUT'!C180),CHAR(34),CHAR(44)),""""))"),"""H_CrewHelmetHeli_O"",")</f>
        <v>"H_CrewHelmetHeli_O",</v>
      </c>
      <c r="F180" s="28" t="str">
        <f>IF(isblank(A180) ,Concatenate("&gt; ",'RHS INPUT'!A180) , if('RHS INPUT'!F180=1,CONCATENATE(round('RHS INPUT'!N180),Char(44)," ",'RHS INPUT'!C180),""))</f>
        <v>18, H_CrewHelmetHeli_O</v>
      </c>
    </row>
    <row r="181" ht="12.0" customHeight="1">
      <c r="A181" s="1" t="str">
        <f>IFERROR(__xludf.DUMMYFUNCTION("if(ISBLANK('RHS INPUT'!C181),,CONCATENATE(CHAR(34),To_Text('RHS INPUT'!C181),CHAR(34),CHAR(44)))"),"""H_HelmetCrew_I"",")</f>
        <v>"H_HelmetCrew_I",</v>
      </c>
      <c r="B181" s="18" t="str">
        <f>if(isblank('RHS INPUT'!A181),,CONCATENATE("/*  ",'RHS INPUT'!A181,"  */"))</f>
        <v/>
      </c>
      <c r="C181" s="22" t="str">
        <f>if(isblank(A181),,if('RHS INPUT'!D181=1,Concatenate("class ",'RHS INPUT'!C181),))</f>
        <v>class H_HelmetCrew_I</v>
      </c>
      <c r="D181" s="27" t="str">
        <f>if(ISBLANK(A181),,if('RHS INPUT'!D181=1,CONCATENATE("{quality = ",'RHS INPUT'!G181,"; price = ",Round('RHS INPUT'!M181),";};"),""))</f>
        <v>{quality = 3; price = 466;};</v>
      </c>
      <c r="E181" t="str">
        <f>IFERROR(__xludf.DUMMYFUNCTION("if(ISBLANK(A181),, if('RHS INPUT'!E181=1,CONCATENATE(CHAR(34),To_Text('RHS INPUT'!C181),CHAR(34),CHAR(44)),""""))"),"""H_HelmetCrew_I"",")</f>
        <v>"H_HelmetCrew_I",</v>
      </c>
      <c r="F181" s="28" t="str">
        <f>IF(isblank(A181) ,Concatenate("&gt; ",'RHS INPUT'!A181) , if('RHS INPUT'!F181=1,CONCATENATE(round('RHS INPUT'!N181),Char(44)," ",'RHS INPUT'!C181),""))</f>
        <v>18, H_HelmetCrew_I</v>
      </c>
    </row>
    <row r="182" ht="12.0" customHeight="1">
      <c r="A182" s="1" t="str">
        <f>IFERROR(__xludf.DUMMYFUNCTION("if(ISBLANK('RHS INPUT'!C182),,CONCATENATE(CHAR(34),To_Text('RHS INPUT'!C182),CHAR(34),CHAR(44)))"),"""H_HelmetCrew_B"",")</f>
        <v>"H_HelmetCrew_B",</v>
      </c>
      <c r="B182" s="18" t="str">
        <f>if(isblank('RHS INPUT'!A182),,CONCATENATE("/*  ",'RHS INPUT'!A182,"  */"))</f>
        <v/>
      </c>
      <c r="C182" s="22" t="str">
        <f>if(isblank(A182),,if('RHS INPUT'!D182=1,Concatenate("class ",'RHS INPUT'!C182),))</f>
        <v>class H_HelmetCrew_B</v>
      </c>
      <c r="D182" s="27" t="str">
        <f>if(ISBLANK(A182),,if('RHS INPUT'!D182=1,CONCATENATE("{quality = ",'RHS INPUT'!G182,"; price = ",Round('RHS INPUT'!M182),";};"),""))</f>
        <v>{quality = 3; price = 466;};</v>
      </c>
      <c r="E182" t="str">
        <f>IFERROR(__xludf.DUMMYFUNCTION("if(ISBLANK(A182),, if('RHS INPUT'!E182=1,CONCATENATE(CHAR(34),To_Text('RHS INPUT'!C182),CHAR(34),CHAR(44)),""""))"),"""H_HelmetCrew_B"",")</f>
        <v>"H_HelmetCrew_B",</v>
      </c>
      <c r="F182" s="28" t="str">
        <f>IF(isblank(A182) ,Concatenate("&gt; ",'RHS INPUT'!A182) , if('RHS INPUT'!F182=1,CONCATENATE(round('RHS INPUT'!N182),Char(44)," ",'RHS INPUT'!C182),""))</f>
        <v>18, H_HelmetCrew_B</v>
      </c>
    </row>
    <row r="183" ht="12.0" customHeight="1">
      <c r="A183" s="1" t="str">
        <f>IFERROR(__xludf.DUMMYFUNCTION("if(ISBLANK('RHS INPUT'!C183),,CONCATENATE(CHAR(34),To_Text('RHS INPUT'!C183),CHAR(34),CHAR(44)))"),"""H_HelmetCrew_O"",")</f>
        <v>"H_HelmetCrew_O",</v>
      </c>
      <c r="B183" s="18" t="str">
        <f>if(isblank('RHS INPUT'!A183),,CONCATENATE("/*  ",'RHS INPUT'!A183,"  */"))</f>
        <v/>
      </c>
      <c r="C183" s="22" t="str">
        <f>if(isblank(A183),,if('RHS INPUT'!D183=1,Concatenate("class ",'RHS INPUT'!C183),))</f>
        <v>class H_HelmetCrew_O</v>
      </c>
      <c r="D183" s="27" t="str">
        <f>if(ISBLANK(A183),,if('RHS INPUT'!D183=1,CONCATENATE("{quality = ",'RHS INPUT'!G183,"; price = ",Round('RHS INPUT'!M183),";};"),""))</f>
        <v>{quality = 3; price = 466;};</v>
      </c>
      <c r="E183" t="str">
        <f>IFERROR(__xludf.DUMMYFUNCTION("if(ISBLANK(A183),, if('RHS INPUT'!E183=1,CONCATENATE(CHAR(34),To_Text('RHS INPUT'!C183),CHAR(34),CHAR(44)),""""))"),"""H_HelmetCrew_O"",")</f>
        <v>"H_HelmetCrew_O",</v>
      </c>
      <c r="F183" s="28" t="str">
        <f>IF(isblank(A183) ,Concatenate("&gt; ",'RHS INPUT'!A183) , if('RHS INPUT'!F183=1,CONCATENATE(round('RHS INPUT'!N183),Char(44)," ",'RHS INPUT'!C183),""))</f>
        <v>18, H_HelmetCrew_O</v>
      </c>
    </row>
    <row r="184" ht="12.0" customHeight="1">
      <c r="A184" s="1" t="str">
        <f>IFERROR(__xludf.DUMMYFUNCTION("if(ISBLANK('RHS INPUT'!C184),,CONCATENATE(CHAR(34),To_Text('RHS INPUT'!C184),CHAR(34),CHAR(44)))"),"""H_PilotHelmetHeli_B"",")</f>
        <v>"H_PilotHelmetHeli_B",</v>
      </c>
      <c r="B184" s="18" t="str">
        <f>if(isblank('RHS INPUT'!A184),,CONCATENATE("/*  ",'RHS INPUT'!A184,"  */"))</f>
        <v/>
      </c>
      <c r="C184" s="22" t="str">
        <f>if(isblank(A184),,if('RHS INPUT'!D184=1,Concatenate("class ",'RHS INPUT'!C184),))</f>
        <v>class H_PilotHelmetHeli_B</v>
      </c>
      <c r="D184" s="27" t="str">
        <f>if(ISBLANK(A184),,if('RHS INPUT'!D184=1,CONCATENATE("{quality = ",'RHS INPUT'!G184,"; price = ",Round('RHS INPUT'!M184),";};"),""))</f>
        <v>{quality = 3; price = 462;};</v>
      </c>
      <c r="E184" t="str">
        <f>IFERROR(__xludf.DUMMYFUNCTION("if(ISBLANK(A184),, if('RHS INPUT'!E184=1,CONCATENATE(CHAR(34),To_Text('RHS INPUT'!C184),CHAR(34),CHAR(44)),""""))"),"""H_PilotHelmetHeli_B"",")</f>
        <v>"H_PilotHelmetHeli_B",</v>
      </c>
      <c r="F184" s="28" t="str">
        <f>IF(isblank(A184) ,Concatenate("&gt; ",'RHS INPUT'!A184) , if('RHS INPUT'!F184=1,CONCATENATE(round('RHS INPUT'!N184),Char(44)," ",'RHS INPUT'!C184),""))</f>
        <v>18, H_PilotHelmetHeli_B</v>
      </c>
    </row>
    <row r="185" ht="12.0" customHeight="1">
      <c r="A185" s="1" t="str">
        <f>IFERROR(__xludf.DUMMYFUNCTION("if(ISBLANK('RHS INPUT'!C185),,CONCATENATE(CHAR(34),To_Text('RHS INPUT'!C185),CHAR(34),CHAR(44)))"),"""H_PilotHelmetHeli_I"",")</f>
        <v>"H_PilotHelmetHeli_I",</v>
      </c>
      <c r="B185" s="18" t="str">
        <f>if(isblank('RHS INPUT'!A185),,CONCATENATE("/*  ",'RHS INPUT'!A185,"  */"))</f>
        <v/>
      </c>
      <c r="C185" s="22" t="str">
        <f>if(isblank(A185),,if('RHS INPUT'!D185=1,Concatenate("class ",'RHS INPUT'!C185),))</f>
        <v>class H_PilotHelmetHeli_I</v>
      </c>
      <c r="D185" s="27" t="str">
        <f>if(ISBLANK(A185),,if('RHS INPUT'!D185=1,CONCATENATE("{quality = ",'RHS INPUT'!G185,"; price = ",Round('RHS INPUT'!M185),";};"),""))</f>
        <v>{quality = 3; price = 462;};</v>
      </c>
      <c r="E185" t="str">
        <f>IFERROR(__xludf.DUMMYFUNCTION("if(ISBLANK(A185),, if('RHS INPUT'!E185=1,CONCATENATE(CHAR(34),To_Text('RHS INPUT'!C185),CHAR(34),CHAR(44)),""""))"),"""H_PilotHelmetHeli_I"",")</f>
        <v>"H_PilotHelmetHeli_I",</v>
      </c>
      <c r="F185" s="28" t="str">
        <f>IF(isblank(A185) ,Concatenate("&gt; ",'RHS INPUT'!A185) , if('RHS INPUT'!F185=1,CONCATENATE(round('RHS INPUT'!N185),Char(44)," ",'RHS INPUT'!C185),""))</f>
        <v>18, H_PilotHelmetHeli_I</v>
      </c>
    </row>
    <row r="186" ht="12.0" customHeight="1">
      <c r="A186" s="1" t="str">
        <f>IFERROR(__xludf.DUMMYFUNCTION("if(ISBLANK('RHS INPUT'!C186),,CONCATENATE(CHAR(34),To_Text('RHS INPUT'!C186),CHAR(34),CHAR(44)))"),"""H_PilotHelmetHeli_O"",")</f>
        <v>"H_PilotHelmetHeli_O",</v>
      </c>
      <c r="B186" s="18" t="str">
        <f>if(isblank('RHS INPUT'!A186),,CONCATENATE("/*  ",'RHS INPUT'!A186,"  */"))</f>
        <v/>
      </c>
      <c r="C186" s="22" t="str">
        <f>if(isblank(A186),,if('RHS INPUT'!D186=1,Concatenate("class ",'RHS INPUT'!C186),))</f>
        <v>class H_PilotHelmetHeli_O</v>
      </c>
      <c r="D186" s="27" t="str">
        <f>if(ISBLANK(A186),,if('RHS INPUT'!D186=1,CONCATENATE("{quality = ",'RHS INPUT'!G186,"; price = ",Round('RHS INPUT'!M186),";};"),""))</f>
        <v>{quality = 3; price = 462;};</v>
      </c>
      <c r="E186" t="str">
        <f>IFERROR(__xludf.DUMMYFUNCTION("if(ISBLANK(A186),, if('RHS INPUT'!E186=1,CONCATENATE(CHAR(34),To_Text('RHS INPUT'!C186),CHAR(34),CHAR(44)),""""))"),"""H_PilotHelmetHeli_O"",")</f>
        <v>"H_PilotHelmetHeli_O",</v>
      </c>
      <c r="F186" s="28" t="str">
        <f>IF(isblank(A186) ,Concatenate("&gt; ",'RHS INPUT'!A186) , if('RHS INPUT'!F186=1,CONCATENATE(round('RHS INPUT'!N186),Char(44)," ",'RHS INPUT'!C186),""))</f>
        <v>18, H_PilotHelmetHeli_O</v>
      </c>
    </row>
    <row r="187" ht="12.0" customHeight="1">
      <c r="A187" s="1" t="str">
        <f>IFERROR(__xludf.DUMMYFUNCTION("if(ISBLANK('RHS INPUT'!C187),,CONCATENATE(CHAR(34),To_Text('RHS INPUT'!C187),CHAR(34),CHAR(44)))"),"""H_PilotHelmetFighter_B"",")</f>
        <v>"H_PilotHelmetFighter_B",</v>
      </c>
      <c r="B187" s="18" t="str">
        <f>if(isblank('RHS INPUT'!A187),,CONCATENATE("/*  ",'RHS INPUT'!A187,"  */"))</f>
        <v/>
      </c>
      <c r="C187" s="22" t="str">
        <f>if(isblank(A187),,if('RHS INPUT'!D187=1,Concatenate("class ",'RHS INPUT'!C187),))</f>
        <v>class H_PilotHelmetFighter_B</v>
      </c>
      <c r="D187" s="27" t="str">
        <f>if(ISBLANK(A187),,if('RHS INPUT'!D187=1,CONCATENATE("{quality = ",'RHS INPUT'!G187,"; price = ",Round('RHS INPUT'!M187),";};"),""))</f>
        <v>{quality = 3; price = 462;};</v>
      </c>
      <c r="E187" t="str">
        <f>IFERROR(__xludf.DUMMYFUNCTION("if(ISBLANK(A187),, if('RHS INPUT'!E187=1,CONCATENATE(CHAR(34),To_Text('RHS INPUT'!C187),CHAR(34),CHAR(44)),""""))"),"""H_PilotHelmetFighter_B"",")</f>
        <v>"H_PilotHelmetFighter_B",</v>
      </c>
      <c r="F187" s="28" t="str">
        <f>IF(isblank(A187) ,Concatenate("&gt; ",'RHS INPUT'!A187) , if('RHS INPUT'!F187=1,CONCATENATE(round('RHS INPUT'!N187),Char(44)," ",'RHS INPUT'!C187),""))</f>
        <v>18, H_PilotHelmetFighter_B</v>
      </c>
    </row>
    <row r="188" ht="12.0" customHeight="1">
      <c r="A188" s="1" t="str">
        <f>IFERROR(__xludf.DUMMYFUNCTION("if(ISBLANK('RHS INPUT'!C188),,CONCATENATE(CHAR(34),To_Text('RHS INPUT'!C188),CHAR(34),CHAR(44)))"),"""H_PilotHelmetFighter_I"",")</f>
        <v>"H_PilotHelmetFighter_I",</v>
      </c>
      <c r="B188" s="18" t="str">
        <f>if(isblank('RHS INPUT'!A188),,CONCATENATE("/*  ",'RHS INPUT'!A188,"  */"))</f>
        <v/>
      </c>
      <c r="C188" s="22" t="str">
        <f>if(isblank(A188),,if('RHS INPUT'!D188=1,Concatenate("class ",'RHS INPUT'!C188),))</f>
        <v>class H_PilotHelmetFighter_I</v>
      </c>
      <c r="D188" s="27" t="str">
        <f>if(ISBLANK(A188),,if('RHS INPUT'!D188=1,CONCATENATE("{quality = ",'RHS INPUT'!G188,"; price = ",Round('RHS INPUT'!M188),";};"),""))</f>
        <v>{quality = 3; price = 462;};</v>
      </c>
      <c r="E188" t="str">
        <f>IFERROR(__xludf.DUMMYFUNCTION("if(ISBLANK(A188),, if('RHS INPUT'!E188=1,CONCATENATE(CHAR(34),To_Text('RHS INPUT'!C188),CHAR(34),CHAR(44)),""""))"),"""H_PilotHelmetFighter_I"",")</f>
        <v>"H_PilotHelmetFighter_I",</v>
      </c>
      <c r="F188" s="28" t="str">
        <f>IF(isblank(A188) ,Concatenate("&gt; ",'RHS INPUT'!A188) , if('RHS INPUT'!F188=1,CONCATENATE(round('RHS INPUT'!N188),Char(44)," ",'RHS INPUT'!C188),""))</f>
        <v>18, H_PilotHelmetFighter_I</v>
      </c>
    </row>
    <row r="189" ht="12.0" customHeight="1">
      <c r="A189" s="1" t="str">
        <f>IFERROR(__xludf.DUMMYFUNCTION("if(ISBLANK('RHS INPUT'!C189),,CONCATENATE(CHAR(34),To_Text('RHS INPUT'!C189),CHAR(34),CHAR(44)))"),"""H_PilotHelmetFighter_O"",")</f>
        <v>"H_PilotHelmetFighter_O",</v>
      </c>
      <c r="B189" s="18" t="str">
        <f>if(isblank('RHS INPUT'!A189),,CONCATENATE("/*  ",'RHS INPUT'!A189,"  */"))</f>
        <v/>
      </c>
      <c r="C189" s="22" t="str">
        <f>if(isblank(A189),,if('RHS INPUT'!D189=1,Concatenate("class ",'RHS INPUT'!C189),))</f>
        <v>class H_PilotHelmetFighter_O</v>
      </c>
      <c r="D189" s="27" t="str">
        <f>if(ISBLANK(A189),,if('RHS INPUT'!D189=1,CONCATENATE("{quality = ",'RHS INPUT'!G189,"; price = ",Round('RHS INPUT'!M189),";};"),""))</f>
        <v>{quality = 3; price = 462;};</v>
      </c>
      <c r="E189" t="str">
        <f>IFERROR(__xludf.DUMMYFUNCTION("if(ISBLANK(A189),, if('RHS INPUT'!E189=1,CONCATENATE(CHAR(34),To_Text('RHS INPUT'!C189),CHAR(34),CHAR(44)),""""))"),"""H_PilotHelmetFighter_O"",")</f>
        <v>"H_PilotHelmetFighter_O",</v>
      </c>
      <c r="F189" s="28" t="str">
        <f>IF(isblank(A189) ,Concatenate("&gt; ",'RHS INPUT'!A189) , if('RHS INPUT'!F189=1,CONCATENATE(round('RHS INPUT'!N189),Char(44)," ",'RHS INPUT'!C189),""))</f>
        <v>18, H_PilotHelmetFighter_O</v>
      </c>
    </row>
    <row r="190" ht="12.0" customHeight="1">
      <c r="A190" s="1" t="str">
        <f>IFERROR(__xludf.DUMMYFUNCTION("if(ISBLANK('RHS INPUT'!C190),,CONCATENATE(CHAR(34),To_Text('RHS INPUT'!C190),CHAR(34),CHAR(44)))"),"")</f>
        <v/>
      </c>
      <c r="B190" s="18" t="str">
        <f>if(isblank('RHS INPUT'!A190),,CONCATENATE("/*  ",'RHS INPUT'!A190,"  */"))</f>
        <v>/*  CIVILIAN_CLOTHING  */</v>
      </c>
      <c r="C190" s="22" t="str">
        <f>if(isblank(A190),,if('RHS INPUT'!D190=1,Concatenate("class ",'RHS INPUT'!C190),))</f>
        <v/>
      </c>
      <c r="D190" s="27" t="str">
        <f>if(ISBLANK(A190),,if('RHS INPUT'!D190=1,CONCATENATE("{quality = ",'RHS INPUT'!G190,"; price = ",Round('RHS INPUT'!M190),";};"),""))</f>
        <v/>
      </c>
      <c r="E190" t="str">
        <f>IFERROR(__xludf.DUMMYFUNCTION("if(ISBLANK(A190),, if('RHS INPUT'!E190=1,CONCATENATE(CHAR(34),To_Text('RHS INPUT'!C190),CHAR(34),CHAR(44)),""""))"),"")</f>
        <v/>
      </c>
      <c r="F190" s="28" t="str">
        <f>IF(isblank(A190) ,Concatenate("&gt; ",'RHS INPUT'!A190) , if('RHS INPUT'!F190=1,CONCATENATE(round('RHS INPUT'!N190),Char(44)," ",'RHS INPUT'!C190),""))</f>
        <v>&gt; CIVILIAN_CLOTHING</v>
      </c>
    </row>
    <row r="191" ht="12.0" customHeight="1">
      <c r="A191" s="1" t="str">
        <f>IFERROR(__xludf.DUMMYFUNCTION("if(ISBLANK('RHS INPUT'!C191),,CONCATENATE(CHAR(34),To_Text('RHS INPUT'!C191),CHAR(34),CHAR(44)))"),"""U_C_Journalist"",")</f>
        <v>"U_C_Journalist",</v>
      </c>
      <c r="B191" s="18" t="str">
        <f>if(isblank('RHS INPUT'!A191),,CONCATENATE("/*  ",'RHS INPUT'!A191,"  */"))</f>
        <v/>
      </c>
      <c r="C191" s="22" t="str">
        <f>if(isblank(A191),,if('RHS INPUT'!D191=1,Concatenate("class ",'RHS INPUT'!C191),))</f>
        <v>class U_C_Journalist</v>
      </c>
      <c r="D191" s="27" t="str">
        <f>if(ISBLANK(A191),,if('RHS INPUT'!D191=1,CONCATENATE("{quality = ",'RHS INPUT'!G191,"; price = ",Round('RHS INPUT'!M191),";};"),""))</f>
        <v>{quality = 1; price = 20;};</v>
      </c>
      <c r="E191" t="str">
        <f>IFERROR(__xludf.DUMMYFUNCTION("if(ISBLANK(A191),, if('RHS INPUT'!E191=1,CONCATENATE(CHAR(34),To_Text('RHS INPUT'!C191),CHAR(34),CHAR(44)),""""))"),"""U_C_Journalist"",")</f>
        <v>"U_C_Journalist",</v>
      </c>
      <c r="F191" s="28" t="str">
        <f>IF(isblank(A191) ,Concatenate("&gt; ",'RHS INPUT'!A191) , if('RHS INPUT'!F191=1,CONCATENATE(round('RHS INPUT'!N191),Char(44)," ",'RHS INPUT'!C191),""))</f>
        <v>83, U_C_Journalist</v>
      </c>
    </row>
    <row r="192" ht="12.0" customHeight="1">
      <c r="A192" s="1" t="str">
        <f>IFERROR(__xludf.DUMMYFUNCTION("if(ISBLANK('RHS INPUT'!C192),,CONCATENATE(CHAR(34),To_Text('RHS INPUT'!C192),CHAR(34),CHAR(44)))"),"""U_C_Poloshirt_blue"",")</f>
        <v>"U_C_Poloshirt_blue",</v>
      </c>
      <c r="B192" s="18" t="str">
        <f>if(isblank('RHS INPUT'!A192),,CONCATENATE("/*  ",'RHS INPUT'!A192,"  */"))</f>
        <v/>
      </c>
      <c r="C192" s="22" t="str">
        <f>if(isblank(A192),,if('RHS INPUT'!D192=1,Concatenate("class ",'RHS INPUT'!C192),))</f>
        <v>class U_C_Poloshirt_blue</v>
      </c>
      <c r="D192" s="27" t="str">
        <f>if(ISBLANK(A192),,if('RHS INPUT'!D192=1,CONCATENATE("{quality = ",'RHS INPUT'!G192,"; price = ",Round('RHS INPUT'!M192),";};"),""))</f>
        <v>{quality = 1; price = 20;};</v>
      </c>
      <c r="E192" t="str">
        <f>IFERROR(__xludf.DUMMYFUNCTION("if(ISBLANK(A192),, if('RHS INPUT'!E192=1,CONCATENATE(CHAR(34),To_Text('RHS INPUT'!C192),CHAR(34),CHAR(44)),""""))"),"""U_C_Poloshirt_blue"",")</f>
        <v>"U_C_Poloshirt_blue",</v>
      </c>
      <c r="F192" s="28" t="str">
        <f>IF(isblank(A192) ,Concatenate("&gt; ",'RHS INPUT'!A192) , if('RHS INPUT'!F192=1,CONCATENATE(round('RHS INPUT'!N192),Char(44)," ",'RHS INPUT'!C192),""))</f>
        <v>83, U_C_Poloshirt_blue</v>
      </c>
    </row>
    <row r="193" ht="12.0" customHeight="1">
      <c r="A193" s="1" t="str">
        <f>IFERROR(__xludf.DUMMYFUNCTION("if(ISBLANK('RHS INPUT'!C193),,CONCATENATE(CHAR(34),To_Text('RHS INPUT'!C193),CHAR(34),CHAR(44)))"),"""U_C_Poloshirt_burgundy"",")</f>
        <v>"U_C_Poloshirt_burgundy",</v>
      </c>
      <c r="B193" s="18" t="str">
        <f>if(isblank('RHS INPUT'!A193),,CONCATENATE("/*  ",'RHS INPUT'!A193,"  */"))</f>
        <v/>
      </c>
      <c r="C193" s="22" t="str">
        <f>if(isblank(A193),,if('RHS INPUT'!D193=1,Concatenate("class ",'RHS INPUT'!C193),))</f>
        <v>class U_C_Poloshirt_burgundy</v>
      </c>
      <c r="D193" s="27" t="str">
        <f>if(ISBLANK(A193),,if('RHS INPUT'!D193=1,CONCATENATE("{quality = ",'RHS INPUT'!G193,"; price = ",Round('RHS INPUT'!M193),";};"),""))</f>
        <v>{quality = 1; price = 20;};</v>
      </c>
      <c r="E193" t="str">
        <f>IFERROR(__xludf.DUMMYFUNCTION("if(ISBLANK(A193),, if('RHS INPUT'!E193=1,CONCATENATE(CHAR(34),To_Text('RHS INPUT'!C193),CHAR(34),CHAR(44)),""""))"),"""U_C_Poloshirt_burgundy"",")</f>
        <v>"U_C_Poloshirt_burgundy",</v>
      </c>
      <c r="F193" s="28" t="str">
        <f>IF(isblank(A193) ,Concatenate("&gt; ",'RHS INPUT'!A193) , if('RHS INPUT'!F193=1,CONCATENATE(round('RHS INPUT'!N193),Char(44)," ",'RHS INPUT'!C193),""))</f>
        <v>83, U_C_Poloshirt_burgundy</v>
      </c>
    </row>
    <row r="194" ht="12.0" customHeight="1">
      <c r="A194" s="1" t="str">
        <f>IFERROR(__xludf.DUMMYFUNCTION("if(ISBLANK('RHS INPUT'!C194),,CONCATENATE(CHAR(34),To_Text('RHS INPUT'!C194),CHAR(34),CHAR(44)))"),"""U_C_Poloshirt_salmon"",")</f>
        <v>"U_C_Poloshirt_salmon",</v>
      </c>
      <c r="B194" s="18" t="str">
        <f>if(isblank('RHS INPUT'!A194),,CONCATENATE("/*  ",'RHS INPUT'!A194,"  */"))</f>
        <v/>
      </c>
      <c r="C194" s="22" t="str">
        <f>if(isblank(A194),,if('RHS INPUT'!D194=1,Concatenate("class ",'RHS INPUT'!C194),))</f>
        <v>class U_C_Poloshirt_salmon</v>
      </c>
      <c r="D194" s="27" t="str">
        <f>if(ISBLANK(A194),,if('RHS INPUT'!D194=1,CONCATENATE("{quality = ",'RHS INPUT'!G194,"; price = ",Round('RHS INPUT'!M194),";};"),""))</f>
        <v>{quality = 1; price = 20;};</v>
      </c>
      <c r="E194" t="str">
        <f>IFERROR(__xludf.DUMMYFUNCTION("if(ISBLANK(A194),, if('RHS INPUT'!E194=1,CONCATENATE(CHAR(34),To_Text('RHS INPUT'!C194),CHAR(34),CHAR(44)),""""))"),"""U_C_Poloshirt_salmon"",")</f>
        <v>"U_C_Poloshirt_salmon",</v>
      </c>
      <c r="F194" s="28" t="str">
        <f>IF(isblank(A194) ,Concatenate("&gt; ",'RHS INPUT'!A194) , if('RHS INPUT'!F194=1,CONCATENATE(round('RHS INPUT'!N194),Char(44)," ",'RHS INPUT'!C194),""))</f>
        <v>83, U_C_Poloshirt_salmon</v>
      </c>
    </row>
    <row r="195" ht="12.0" customHeight="1">
      <c r="A195" s="1" t="str">
        <f>IFERROR(__xludf.DUMMYFUNCTION("if(ISBLANK('RHS INPUT'!C195),,CONCATENATE(CHAR(34),To_Text('RHS INPUT'!C195),CHAR(34),CHAR(44)))"),"""U_C_Poloshirt_stripped"",")</f>
        <v>"U_C_Poloshirt_stripped",</v>
      </c>
      <c r="B195" s="18" t="str">
        <f>if(isblank('RHS INPUT'!A195),,CONCATENATE("/*  ",'RHS INPUT'!A195,"  */"))</f>
        <v/>
      </c>
      <c r="C195" s="22" t="str">
        <f>if(isblank(A195),,if('RHS INPUT'!D195=1,Concatenate("class ",'RHS INPUT'!C195),))</f>
        <v>class U_C_Poloshirt_stripped</v>
      </c>
      <c r="D195" s="27" t="str">
        <f>if(ISBLANK(A195),,if('RHS INPUT'!D195=1,CONCATENATE("{quality = ",'RHS INPUT'!G195,"; price = ",Round('RHS INPUT'!M195),";};"),""))</f>
        <v>{quality = 1; price = 20;};</v>
      </c>
      <c r="E195" t="str">
        <f>IFERROR(__xludf.DUMMYFUNCTION("if(ISBLANK(A195),, if('RHS INPUT'!E195=1,CONCATENATE(CHAR(34),To_Text('RHS INPUT'!C195),CHAR(34),CHAR(44)),""""))"),"""U_C_Poloshirt_stripped"",")</f>
        <v>"U_C_Poloshirt_stripped",</v>
      </c>
      <c r="F195" s="28" t="str">
        <f>IF(isblank(A195) ,Concatenate("&gt; ",'RHS INPUT'!A195) , if('RHS INPUT'!F195=1,CONCATENATE(round('RHS INPUT'!N195),Char(44)," ",'RHS INPUT'!C195),""))</f>
        <v>83, U_C_Poloshirt_stripped</v>
      </c>
    </row>
    <row r="196" ht="12.0" customHeight="1">
      <c r="A196" s="1" t="str">
        <f>IFERROR(__xludf.DUMMYFUNCTION("if(ISBLANK('RHS INPUT'!C196),,CONCATENATE(CHAR(34),To_Text('RHS INPUT'!C196),CHAR(34),CHAR(44)))"),"""U_C_Poloshirt_tricolour"",")</f>
        <v>"U_C_Poloshirt_tricolour",</v>
      </c>
      <c r="B196" s="18" t="str">
        <f>if(isblank('RHS INPUT'!A196),,CONCATENATE("/*  ",'RHS INPUT'!A196,"  */"))</f>
        <v/>
      </c>
      <c r="C196" s="22" t="str">
        <f>if(isblank(A196),,if('RHS INPUT'!D196=1,Concatenate("class ",'RHS INPUT'!C196),))</f>
        <v>class U_C_Poloshirt_tricolour</v>
      </c>
      <c r="D196" s="27" t="str">
        <f>if(ISBLANK(A196),,if('RHS INPUT'!D196=1,CONCATENATE("{quality = ",'RHS INPUT'!G196,"; price = ",Round('RHS INPUT'!M196),";};"),""))</f>
        <v>{quality = 1; price = 20;};</v>
      </c>
      <c r="E196" t="str">
        <f>IFERROR(__xludf.DUMMYFUNCTION("if(ISBLANK(A196),, if('RHS INPUT'!E196=1,CONCATENATE(CHAR(34),To_Text('RHS INPUT'!C196),CHAR(34),CHAR(44)),""""))"),"""U_C_Poloshirt_tricolour"",")</f>
        <v>"U_C_Poloshirt_tricolour",</v>
      </c>
      <c r="F196" s="28" t="str">
        <f>IF(isblank(A196) ,Concatenate("&gt; ",'RHS INPUT'!A196) , if('RHS INPUT'!F196=1,CONCATENATE(round('RHS INPUT'!N196),Char(44)," ",'RHS INPUT'!C196),""))</f>
        <v>83, U_C_Poloshirt_tricolour</v>
      </c>
    </row>
    <row r="197" ht="12.0" customHeight="1">
      <c r="A197" s="1" t="str">
        <f>IFERROR(__xludf.DUMMYFUNCTION("if(ISBLANK('RHS INPUT'!C197),,CONCATENATE(CHAR(34),To_Text('RHS INPUT'!C197),CHAR(34),CHAR(44)))"),"""U_C_Poor_1"",")</f>
        <v>"U_C_Poor_1",</v>
      </c>
      <c r="B197" s="18" t="str">
        <f>if(isblank('RHS INPUT'!A197),,CONCATENATE("/*  ",'RHS INPUT'!A197,"  */"))</f>
        <v/>
      </c>
      <c r="C197" s="22" t="str">
        <f>if(isblank(A197),,if('RHS INPUT'!D197=1,Concatenate("class ",'RHS INPUT'!C197),))</f>
        <v>class U_C_Poor_1</v>
      </c>
      <c r="D197" s="27" t="str">
        <f>if(ISBLANK(A197),,if('RHS INPUT'!D197=1,CONCATENATE("{quality = ",'RHS INPUT'!G197,"; price = ",Round('RHS INPUT'!M197),";};"),""))</f>
        <v>{quality = 1; price = 30;};</v>
      </c>
      <c r="E197" t="str">
        <f>IFERROR(__xludf.DUMMYFUNCTION("if(ISBLANK(A197),, if('RHS INPUT'!E197=1,CONCATENATE(CHAR(34),To_Text('RHS INPUT'!C197),CHAR(34),CHAR(44)),""""))"),"""U_C_Poor_1"",")</f>
        <v>"U_C_Poor_1",</v>
      </c>
      <c r="F197" s="28" t="str">
        <f>IF(isblank(A197) ,Concatenate("&gt; ",'RHS INPUT'!A197) , if('RHS INPUT'!F197=1,CONCATENATE(round('RHS INPUT'!N197),Char(44)," ",'RHS INPUT'!C197),""))</f>
        <v>77, U_C_Poor_1</v>
      </c>
    </row>
    <row r="198" ht="12.0" customHeight="1">
      <c r="A198" s="1" t="str">
        <f>IFERROR(__xludf.DUMMYFUNCTION("if(ISBLANK('RHS INPUT'!C198),,CONCATENATE(CHAR(34),To_Text('RHS INPUT'!C198),CHAR(34),CHAR(44)))"),"""U_C_Poor_2"",")</f>
        <v>"U_C_Poor_2",</v>
      </c>
      <c r="B198" s="18" t="str">
        <f>if(isblank('RHS INPUT'!A198),,CONCATENATE("/*  ",'RHS INPUT'!A198,"  */"))</f>
        <v/>
      </c>
      <c r="C198" s="22" t="str">
        <f>if(isblank(A198),,if('RHS INPUT'!D198=1,Concatenate("class ",'RHS INPUT'!C198),))</f>
        <v>class U_C_Poor_2</v>
      </c>
      <c r="D198" s="27" t="str">
        <f>if(ISBLANK(A198),,if('RHS INPUT'!D198=1,CONCATENATE("{quality = ",'RHS INPUT'!G198,"; price = ",Round('RHS INPUT'!M198),";};"),""))</f>
        <v>{quality = 1; price = 30;};</v>
      </c>
      <c r="E198" t="str">
        <f>IFERROR(__xludf.DUMMYFUNCTION("if(ISBLANK(A198),, if('RHS INPUT'!E198=1,CONCATENATE(CHAR(34),To_Text('RHS INPUT'!C198),CHAR(34),CHAR(44)),""""))"),"""U_C_Poor_2"",")</f>
        <v>"U_C_Poor_2",</v>
      </c>
      <c r="F198" s="28" t="str">
        <f>IF(isblank(A198) ,Concatenate("&gt; ",'RHS INPUT'!A198) , if('RHS INPUT'!F198=1,CONCATENATE(round('RHS INPUT'!N198),Char(44)," ",'RHS INPUT'!C198),""))</f>
        <v>77, U_C_Poor_2</v>
      </c>
    </row>
    <row r="199" ht="12.0" customHeight="1">
      <c r="A199" s="1" t="str">
        <f>IFERROR(__xludf.DUMMYFUNCTION("if(ISBLANK('RHS INPUT'!C199),,CONCATENATE(CHAR(34),To_Text('RHS INPUT'!C199),CHAR(34),CHAR(44)))"),"""U_C_Poor_shorts_1"",")</f>
        <v>"U_C_Poor_shorts_1",</v>
      </c>
      <c r="B199" s="18" t="str">
        <f>if(isblank('RHS INPUT'!A199),,CONCATENATE("/*  ",'RHS INPUT'!A199,"  */"))</f>
        <v/>
      </c>
      <c r="C199" s="22" t="str">
        <f>if(isblank(A199),,if('RHS INPUT'!D199=1,Concatenate("class ",'RHS INPUT'!C199),))</f>
        <v>class U_C_Poor_shorts_1</v>
      </c>
      <c r="D199" s="27" t="str">
        <f>if(ISBLANK(A199),,if('RHS INPUT'!D199=1,CONCATENATE("{quality = ",'RHS INPUT'!G199,"; price = ",Round('RHS INPUT'!M199),";};"),""))</f>
        <v>{quality = 1; price = 30;};</v>
      </c>
      <c r="E199" t="str">
        <f>IFERROR(__xludf.DUMMYFUNCTION("if(ISBLANK(A199),, if('RHS INPUT'!E199=1,CONCATENATE(CHAR(34),To_Text('RHS INPUT'!C199),CHAR(34),CHAR(44)),""""))"),"""U_C_Poor_shorts_1"",")</f>
        <v>"U_C_Poor_shorts_1",</v>
      </c>
      <c r="F199" s="28" t="str">
        <f>IF(isblank(A199) ,Concatenate("&gt; ",'RHS INPUT'!A199) , if('RHS INPUT'!F199=1,CONCATENATE(round('RHS INPUT'!N199),Char(44)," ",'RHS INPUT'!C199),""))</f>
        <v>77, U_C_Poor_shorts_1</v>
      </c>
    </row>
    <row r="200" ht="12.0" customHeight="1">
      <c r="A200" s="1" t="str">
        <f>IFERROR(__xludf.DUMMYFUNCTION("if(ISBLANK('RHS INPUT'!C200),,CONCATENATE(CHAR(34),To_Text('RHS INPUT'!C200),CHAR(34),CHAR(44)))"),"""U_C_Scientist"",")</f>
        <v>"U_C_Scientist",</v>
      </c>
      <c r="B200" s="18" t="str">
        <f>if(isblank('RHS INPUT'!A200),,CONCATENATE("/*  ",'RHS INPUT'!A200,"  */"))</f>
        <v/>
      </c>
      <c r="C200" s="22" t="str">
        <f>if(isblank(A200),,if('RHS INPUT'!D200=1,Concatenate("class ",'RHS INPUT'!C200),))</f>
        <v>class U_C_Scientist</v>
      </c>
      <c r="D200" s="27" t="str">
        <f>if(ISBLANK(A200),,if('RHS INPUT'!D200=1,CONCATENATE("{quality = ",'RHS INPUT'!G200,"; price = ",Round('RHS INPUT'!M200),";};"),""))</f>
        <v>{quality = 1; price = 20;};</v>
      </c>
      <c r="E200" t="str">
        <f>IFERROR(__xludf.DUMMYFUNCTION("if(ISBLANK(A200),, if('RHS INPUT'!E200=1,CONCATENATE(CHAR(34),To_Text('RHS INPUT'!C200),CHAR(34),CHAR(44)),""""))"),"""U_C_Scientist"",")</f>
        <v>"U_C_Scientist",</v>
      </c>
      <c r="F200" s="28" t="str">
        <f>IF(isblank(A200) ,Concatenate("&gt; ",'RHS INPUT'!A200) , if('RHS INPUT'!F200=1,CONCATENATE(round('RHS INPUT'!N200),Char(44)," ",'RHS INPUT'!C200),""))</f>
        <v>83, U_C_Scientist</v>
      </c>
    </row>
    <row r="201" ht="12.0" customHeight="1">
      <c r="A201" s="1" t="str">
        <f>IFERROR(__xludf.DUMMYFUNCTION("if(ISBLANK('RHS INPUT'!C201),,CONCATENATE(CHAR(34),To_Text('RHS INPUT'!C201),CHAR(34),CHAR(44)))"),"""U_OrestesBody"",")</f>
        <v>"U_OrestesBody",</v>
      </c>
      <c r="B201" s="18" t="str">
        <f>if(isblank('RHS INPUT'!A201),,CONCATENATE("/*  ",'RHS INPUT'!A201,"  */"))</f>
        <v/>
      </c>
      <c r="C201" s="22" t="str">
        <f>if(isblank(A201),,if('RHS INPUT'!D201=1,Concatenate("class ",'RHS INPUT'!C201),))</f>
        <v>class U_OrestesBody</v>
      </c>
      <c r="D201" s="27" t="str">
        <f>if(ISBLANK(A201),,if('RHS INPUT'!D201=1,CONCATENATE("{quality = ",'RHS INPUT'!G201,"; price = ",Round('RHS INPUT'!M201),";};"),""))</f>
        <v>{quality = 1; price = 20;};</v>
      </c>
      <c r="E201" t="str">
        <f>IFERROR(__xludf.DUMMYFUNCTION("if(ISBLANK(A201),, if('RHS INPUT'!E201=1,CONCATENATE(CHAR(34),To_Text('RHS INPUT'!C201),CHAR(34),CHAR(44)),""""))"),"""U_OrestesBody"",")</f>
        <v>"U_OrestesBody",</v>
      </c>
      <c r="F201" s="28" t="str">
        <f>IF(isblank(A201) ,Concatenate("&gt; ",'RHS INPUT'!A201) , if('RHS INPUT'!F201=1,CONCATENATE(round('RHS INPUT'!N201),Char(44)," ",'RHS INPUT'!C201),""))</f>
        <v>83, U_OrestesBody</v>
      </c>
    </row>
    <row r="202" ht="12.0" customHeight="1">
      <c r="A202" s="1" t="str">
        <f>IFERROR(__xludf.DUMMYFUNCTION("if(ISBLANK('RHS INPUT'!C202),,CONCATENATE(CHAR(34),To_Text('RHS INPUT'!C202),CHAR(34),CHAR(44)))"),"""U_Rangemaster"",")</f>
        <v>"U_Rangemaster",</v>
      </c>
      <c r="B202" s="18" t="str">
        <f>if(isblank('RHS INPUT'!A202),,CONCATENATE("/*  ",'RHS INPUT'!A202,"  */"))</f>
        <v/>
      </c>
      <c r="C202" s="22" t="str">
        <f>if(isblank(A202),,if('RHS INPUT'!D202=1,Concatenate("class ",'RHS INPUT'!C202),))</f>
        <v>class U_Rangemaster</v>
      </c>
      <c r="D202" s="27" t="str">
        <f>if(ISBLANK(A202),,if('RHS INPUT'!D202=1,CONCATENATE("{quality = ",'RHS INPUT'!G202,"; price = ",Round('RHS INPUT'!M202),";};"),""))</f>
        <v>{quality = 1; price = 20;};</v>
      </c>
      <c r="E202" t="str">
        <f>IFERROR(__xludf.DUMMYFUNCTION("if(ISBLANK(A202),, if('RHS INPUT'!E202=1,CONCATENATE(CHAR(34),To_Text('RHS INPUT'!C202),CHAR(34),CHAR(44)),""""))"),"""U_Rangemaster"",")</f>
        <v>"U_Rangemaster",</v>
      </c>
      <c r="F202" s="28" t="str">
        <f>IF(isblank(A202) ,Concatenate("&gt; ",'RHS INPUT'!A202) , if('RHS INPUT'!F202=1,CONCATENATE(round('RHS INPUT'!N202),Char(44)," ",'RHS INPUT'!C202),""))</f>
        <v>83, U_Rangemaster</v>
      </c>
    </row>
    <row r="203" ht="12.0" customHeight="1">
      <c r="A203" s="1" t="str">
        <f>IFERROR(__xludf.DUMMYFUNCTION("if(ISBLANK('RHS INPUT'!C203),,CONCATENATE(CHAR(34),To_Text('RHS INPUT'!C203),CHAR(34),CHAR(44)))"),"""U_NikosAgedBody"",")</f>
        <v>"U_NikosAgedBody",</v>
      </c>
      <c r="B203" s="18" t="str">
        <f>if(isblank('RHS INPUT'!A203),,CONCATENATE("/*  ",'RHS INPUT'!A203,"  */"))</f>
        <v/>
      </c>
      <c r="C203" s="22" t="str">
        <f>if(isblank(A203),,if('RHS INPUT'!D203=1,Concatenate("class ",'RHS INPUT'!C203),))</f>
        <v>class U_NikosAgedBody</v>
      </c>
      <c r="D203" s="27" t="str">
        <f>if(ISBLANK(A203),,if('RHS INPUT'!D203=1,CONCATENATE("{quality = ",'RHS INPUT'!G203,"; price = ",Round('RHS INPUT'!M203),";};"),""))</f>
        <v>{quality = 1; price = 20;};</v>
      </c>
      <c r="E203" t="str">
        <f>IFERROR(__xludf.DUMMYFUNCTION("if(ISBLANK(A203),, if('RHS INPUT'!E203=1,CONCATENATE(CHAR(34),To_Text('RHS INPUT'!C203),CHAR(34),CHAR(44)),""""))"),"""U_NikosAgedBody"",")</f>
        <v>"U_NikosAgedBody",</v>
      </c>
      <c r="F203" s="28" t="str">
        <f>IF(isblank(A203) ,Concatenate("&gt; ",'RHS INPUT'!A203) , if('RHS INPUT'!F203=1,CONCATENATE(round('RHS INPUT'!N203),Char(44)," ",'RHS INPUT'!C203),""))</f>
        <v>83, U_NikosAgedBody</v>
      </c>
    </row>
    <row r="204" ht="12.0" customHeight="1">
      <c r="A204" s="1" t="str">
        <f>IFERROR(__xludf.DUMMYFUNCTION("if(ISBLANK('RHS INPUT'!C204),,CONCATENATE(CHAR(34),To_Text('RHS INPUT'!C204),CHAR(34),CHAR(44)))"),"""U_NikosBody"",")</f>
        <v>"U_NikosBody",</v>
      </c>
      <c r="B204" s="18" t="str">
        <f>if(isblank('RHS INPUT'!A204),,CONCATENATE("/*  ",'RHS INPUT'!A204,"  */"))</f>
        <v/>
      </c>
      <c r="C204" s="22" t="str">
        <f>if(isblank(A204),,if('RHS INPUT'!D204=1,Concatenate("class ",'RHS INPUT'!C204),))</f>
        <v>class U_NikosBody</v>
      </c>
      <c r="D204" s="27" t="str">
        <f>if(ISBLANK(A204),,if('RHS INPUT'!D204=1,CONCATENATE("{quality = ",'RHS INPUT'!G204,"; price = ",Round('RHS INPUT'!M204),";};"),""))</f>
        <v>{quality = 1; price = 20;};</v>
      </c>
      <c r="E204" t="str">
        <f>IFERROR(__xludf.DUMMYFUNCTION("if(ISBLANK(A204),, if('RHS INPUT'!E204=1,CONCATENATE(CHAR(34),To_Text('RHS INPUT'!C204),CHAR(34),CHAR(44)),""""))"),"""U_NikosBody"",")</f>
        <v>"U_NikosBody",</v>
      </c>
      <c r="F204" s="28" t="str">
        <f>IF(isblank(A204) ,Concatenate("&gt; ",'RHS INPUT'!A204) , if('RHS INPUT'!F204=1,CONCATENATE(round('RHS INPUT'!N204),Char(44)," ",'RHS INPUT'!C204),""))</f>
        <v>83, U_NikosBody</v>
      </c>
    </row>
    <row r="205" ht="12.0" customHeight="1">
      <c r="A205" s="1" t="str">
        <f>IFERROR(__xludf.DUMMYFUNCTION("if(ISBLANK('RHS INPUT'!C205),,CONCATENATE(CHAR(34),To_Text('RHS INPUT'!C205),CHAR(34),CHAR(44)))"),"""U_Competitor"",")</f>
        <v>"U_Competitor",</v>
      </c>
      <c r="B205" s="18" t="str">
        <f>if(isblank('RHS INPUT'!A205),,CONCATENATE("/*  ",'RHS INPUT'!A205,"  */"))</f>
        <v/>
      </c>
      <c r="C205" s="22" t="str">
        <f>if(isblank(A205),,if('RHS INPUT'!D205=1,Concatenate("class ",'RHS INPUT'!C205),))</f>
        <v>class U_Competitor</v>
      </c>
      <c r="D205" s="27" t="str">
        <f>if(ISBLANK(A205),,if('RHS INPUT'!D205=1,CONCATENATE("{quality = ",'RHS INPUT'!G205,"; price = ",Round('RHS INPUT'!M205),";};"),""))</f>
        <v>{quality = 1; price = 20;};</v>
      </c>
      <c r="E205" t="str">
        <f>IFERROR(__xludf.DUMMYFUNCTION("if(ISBLANK(A205),, if('RHS INPUT'!E205=1,CONCATENATE(CHAR(34),To_Text('RHS INPUT'!C205),CHAR(34),CHAR(44)),""""))"),"""U_Competitor"",")</f>
        <v>"U_Competitor",</v>
      </c>
      <c r="F205" s="28" t="str">
        <f>IF(isblank(A205) ,Concatenate("&gt; ",'RHS INPUT'!A205) , if('RHS INPUT'!F205=1,CONCATENATE(round('RHS INPUT'!N205),Char(44)," ",'RHS INPUT'!C205),""))</f>
        <v>83, U_Competitor</v>
      </c>
    </row>
    <row r="206" ht="12.0" customHeight="1">
      <c r="A206" s="1" t="str">
        <f>IFERROR(__xludf.DUMMYFUNCTION("if(ISBLANK('RHS INPUT'!C206),,CONCATENATE(CHAR(34),To_Text('RHS INPUT'!C206),CHAR(34),CHAR(44)))"),"""U_C_HunterBody_grn"",")</f>
        <v>"U_C_HunterBody_grn",</v>
      </c>
      <c r="B206" s="18" t="str">
        <f>if(isblank('RHS INPUT'!A206),,CONCATENATE("/*  ",'RHS INPUT'!A206,"  */"))</f>
        <v/>
      </c>
      <c r="C206" s="22" t="str">
        <f>if(isblank(A206),,if('RHS INPUT'!D206=1,Concatenate("class ",'RHS INPUT'!C206),))</f>
        <v>class U_C_HunterBody_grn</v>
      </c>
      <c r="D206" s="27" t="str">
        <f>if(ISBLANK(A206),,if('RHS INPUT'!D206=1,CONCATENATE("{quality = ",'RHS INPUT'!G206,"; price = ",Round('RHS INPUT'!M206),";};"),""))</f>
        <v>{quality = 1; price = 30;};</v>
      </c>
      <c r="E206" t="str">
        <f>IFERROR(__xludf.DUMMYFUNCTION("if(ISBLANK(A206),, if('RHS INPUT'!E206=1,CONCATENATE(CHAR(34),To_Text('RHS INPUT'!C206),CHAR(34),CHAR(44)),""""))"),"""U_C_HunterBody_grn"",")</f>
        <v>"U_C_HunterBody_grn",</v>
      </c>
      <c r="F206" s="28" t="str">
        <f>IF(isblank(A206) ,Concatenate("&gt; ",'RHS INPUT'!A206) , if('RHS INPUT'!F206=1,CONCATENATE(round('RHS INPUT'!N206),Char(44)," ",'RHS INPUT'!C206),""))</f>
        <v>77, U_C_HunterBody_grn</v>
      </c>
    </row>
    <row r="207" ht="12.0" customHeight="1">
      <c r="A207" s="1" t="str">
        <f>IFERROR(__xludf.DUMMYFUNCTION("if(ISBLANK('RHS INPUT'!C207),,CONCATENATE(CHAR(34),To_Text('RHS INPUT'!C207),CHAR(34),CHAR(44)))"),"""Exile_Uniform_BambiOverall"",")</f>
        <v>"Exile_Uniform_BambiOverall",</v>
      </c>
      <c r="B207" s="18" t="str">
        <f>if(isblank('RHS INPUT'!A207),,CONCATENATE("/*  ",'RHS INPUT'!A207,"  */"))</f>
        <v/>
      </c>
      <c r="C207" s="22" t="str">
        <f>if(isblank(A207),,if('RHS INPUT'!D207=1,Concatenate("class ",'RHS INPUT'!C207),))</f>
        <v>class Exile_Uniform_BambiOverall</v>
      </c>
      <c r="D207" s="27" t="str">
        <f>if(ISBLANK(A207),,if('RHS INPUT'!D207=1,CONCATENATE("{quality = ",'RHS INPUT'!G207,"; price = ",Round('RHS INPUT'!M207),";};"),""))</f>
        <v>{quality = 1; price = 40;};</v>
      </c>
      <c r="E207" t="str">
        <f>IFERROR(__xludf.DUMMYFUNCTION("if(ISBLANK(A207),, if('RHS INPUT'!E207=1,CONCATENATE(CHAR(34),To_Text('RHS INPUT'!C207),CHAR(34),CHAR(44)),""""))"),"""Exile_Uniform_BambiOverall"",")</f>
        <v>"Exile_Uniform_BambiOverall",</v>
      </c>
      <c r="F207" s="28" t="str">
        <f>IF(isblank(A207) ,Concatenate("&gt; ",'RHS INPUT'!A207) , if('RHS INPUT'!F207=1,CONCATENATE(round('RHS INPUT'!N207),Char(44)," ",'RHS INPUT'!C207),""))</f>
        <v>71, Exile_Uniform_BambiOverall</v>
      </c>
    </row>
    <row r="208" ht="12.0" customHeight="1">
      <c r="A208" s="1" t="str">
        <f>IFERROR(__xludf.DUMMYFUNCTION("if(ISBLANK('RHS INPUT'!C208),,CONCATENATE(CHAR(34),To_Text('RHS INPUT'!C208),CHAR(34),CHAR(44)))"),"")</f>
        <v/>
      </c>
      <c r="B208" s="18" t="str">
        <f>if(isblank('RHS INPUT'!A208),,CONCATENATE("/*  ",'RHS INPUT'!A208,"  */"))</f>
        <v>/*  MILITARY_UNIFORMS  */</v>
      </c>
      <c r="C208" s="22" t="str">
        <f>if(isblank(A208),,if('RHS INPUT'!D208=1,Concatenate("class ",'RHS INPUT'!C208),))</f>
        <v/>
      </c>
      <c r="D208" s="27" t="str">
        <f>if(ISBLANK(A208),,if('RHS INPUT'!D208=1,CONCATENATE("{quality = ",'RHS INPUT'!G208,"; price = ",Round('RHS INPUT'!M208),";};"),""))</f>
        <v/>
      </c>
      <c r="E208" t="str">
        <f>IFERROR(__xludf.DUMMYFUNCTION("if(ISBLANK(A208),, if('RHS INPUT'!E208=1,CONCATENATE(CHAR(34),To_Text('RHS INPUT'!C208),CHAR(34),CHAR(44)),""""))"),"")</f>
        <v/>
      </c>
      <c r="F208" s="28" t="str">
        <f>IF(isblank(A208) ,Concatenate("&gt; ",'RHS INPUT'!A208) , if('RHS INPUT'!F208=1,CONCATENATE(round('RHS INPUT'!N208),Char(44)," ",'RHS INPUT'!C208),""))</f>
        <v>&gt; MILITARY_UNIFORMS</v>
      </c>
    </row>
    <row r="209" ht="12.0" customHeight="1">
      <c r="A209" s="1" t="str">
        <f>IFERROR(__xludf.DUMMYFUNCTION("if(ISBLANK('RHS INPUT'!C209),,CONCATENATE(CHAR(34),To_Text('RHS INPUT'!C209),CHAR(34),CHAR(44)))"),"""U_B_CombatUniform_mcam"",")</f>
        <v>"U_B_CombatUniform_mcam",</v>
      </c>
      <c r="B209" s="18" t="str">
        <f>if(isblank('RHS INPUT'!A209),,CONCATENATE("/*  ",'RHS INPUT'!A209,"  */"))</f>
        <v/>
      </c>
      <c r="C209" s="22" t="str">
        <f>if(isblank(A209),,if('RHS INPUT'!D209=1,Concatenate("class ",'RHS INPUT'!C209),))</f>
        <v>class U_B_CombatUniform_mcam</v>
      </c>
      <c r="D209" s="27" t="str">
        <f>if(ISBLANK(A209),,if('RHS INPUT'!D209=1,CONCATENATE("{quality = ",'RHS INPUT'!G209,"; price = ",Round('RHS INPUT'!M209),";};"),""))</f>
        <v>{quality = 2; price = 80;};</v>
      </c>
      <c r="E209" t="str">
        <f>IFERROR(__xludf.DUMMYFUNCTION("if(ISBLANK(A209),, if('RHS INPUT'!E209=1,CONCATENATE(CHAR(34),To_Text('RHS INPUT'!C209),CHAR(34),CHAR(44)),""""))"),"""U_B_CombatUniform_mcam"",")</f>
        <v>"U_B_CombatUniform_mcam",</v>
      </c>
      <c r="F209" s="28" t="str">
        <f>IF(isblank(A209) ,Concatenate("&gt; ",'RHS INPUT'!A209) , if('RHS INPUT'!F209=1,CONCATENATE(round('RHS INPUT'!N209),Char(44)," ",'RHS INPUT'!C209),""))</f>
        <v>56, U_B_CombatUniform_mcam</v>
      </c>
    </row>
    <row r="210" ht="12.0" customHeight="1">
      <c r="A210" s="1" t="str">
        <f>IFERROR(__xludf.DUMMYFUNCTION("if(ISBLANK('RHS INPUT'!C210),,CONCATENATE(CHAR(34),To_Text('RHS INPUT'!C210),CHAR(34),CHAR(44)))"),"""U_B_CombatUniform_mcam_tshirt"",")</f>
        <v>"U_B_CombatUniform_mcam_tshirt",</v>
      </c>
      <c r="B210" s="18" t="str">
        <f>if(isblank('RHS INPUT'!A210),,CONCATENATE("/*  ",'RHS INPUT'!A210,"  */"))</f>
        <v/>
      </c>
      <c r="C210" s="22" t="str">
        <f>if(isblank(A210),,if('RHS INPUT'!D210=1,Concatenate("class ",'RHS INPUT'!C210),))</f>
        <v>class U_B_CombatUniform_mcam_tshirt</v>
      </c>
      <c r="D210" s="27" t="str">
        <f>if(ISBLANK(A210),,if('RHS INPUT'!D210=1,CONCATENATE("{quality = ",'RHS INPUT'!G210,"; price = ",Round('RHS INPUT'!M210),";};"),""))</f>
        <v>{quality = 2; price = 80;};</v>
      </c>
      <c r="E210" t="str">
        <f>IFERROR(__xludf.DUMMYFUNCTION("if(ISBLANK(A210),, if('RHS INPUT'!E210=1,CONCATENATE(CHAR(34),To_Text('RHS INPUT'!C210),CHAR(34),CHAR(44)),""""))"),"""U_B_CombatUniform_mcam_tshirt"",")</f>
        <v>"U_B_CombatUniform_mcam_tshirt",</v>
      </c>
      <c r="F210" s="28" t="str">
        <f>IF(isblank(A210) ,Concatenate("&gt; ",'RHS INPUT'!A210) , if('RHS INPUT'!F210=1,CONCATENATE(round('RHS INPUT'!N210),Char(44)," ",'RHS INPUT'!C210),""))</f>
        <v>56, U_B_CombatUniform_mcam_tshirt</v>
      </c>
    </row>
    <row r="211" ht="12.0" customHeight="1">
      <c r="A211" s="1" t="str">
        <f>IFERROR(__xludf.DUMMYFUNCTION("if(ISBLANK('RHS INPUT'!C211),,CONCATENATE(CHAR(34),To_Text('RHS INPUT'!C211),CHAR(34),CHAR(44)))"),"""U_B_CombatUniform_mcam_vest"",")</f>
        <v>"U_B_CombatUniform_mcam_vest",</v>
      </c>
      <c r="B211" s="18" t="str">
        <f>if(isblank('RHS INPUT'!A211),,CONCATENATE("/*  ",'RHS INPUT'!A211,"  */"))</f>
        <v/>
      </c>
      <c r="C211" s="22" t="str">
        <f>if(isblank(A211),,if('RHS INPUT'!D211=1,Concatenate("class ",'RHS INPUT'!C211),))</f>
        <v>class U_B_CombatUniform_mcam_vest</v>
      </c>
      <c r="D211" s="27" t="str">
        <f>if(ISBLANK(A211),,if('RHS INPUT'!D211=1,CONCATENATE("{quality = ",'RHS INPUT'!G211,"; price = ",Round('RHS INPUT'!M211),";};"),""))</f>
        <v>{quality = 2; price = 80;};</v>
      </c>
      <c r="E211" t="str">
        <f>IFERROR(__xludf.DUMMYFUNCTION("if(ISBLANK(A211),, if('RHS INPUT'!E211=1,CONCATENATE(CHAR(34),To_Text('RHS INPUT'!C211),CHAR(34),CHAR(44)),""""))"),"""U_B_CombatUniform_mcam_vest"",")</f>
        <v>"U_B_CombatUniform_mcam_vest",</v>
      </c>
      <c r="F211" s="28" t="str">
        <f>IF(isblank(A211) ,Concatenate("&gt; ",'RHS INPUT'!A211) , if('RHS INPUT'!F211=1,CONCATENATE(round('RHS INPUT'!N211),Char(44)," ",'RHS INPUT'!C211),""))</f>
        <v>56, U_B_CombatUniform_mcam_vest</v>
      </c>
    </row>
    <row r="212" ht="12.0" customHeight="1">
      <c r="A212" s="1" t="str">
        <f>IFERROR(__xludf.DUMMYFUNCTION("if(ISBLANK('RHS INPUT'!C212),,CONCATENATE(CHAR(34),To_Text('RHS INPUT'!C212),CHAR(34),CHAR(44)))"),"""U_B_CombatUniform_mcam_worn"",")</f>
        <v>"U_B_CombatUniform_mcam_worn",</v>
      </c>
      <c r="B212" s="18" t="str">
        <f>if(isblank('RHS INPUT'!A212),,CONCATENATE("/*  ",'RHS INPUT'!A212,"  */"))</f>
        <v/>
      </c>
      <c r="C212" s="22" t="str">
        <f>if(isblank(A212),,if('RHS INPUT'!D212=1,Concatenate("class ",'RHS INPUT'!C212),))</f>
        <v>class U_B_CombatUniform_mcam_worn</v>
      </c>
      <c r="D212" s="27" t="str">
        <f>if(ISBLANK(A212),,if('RHS INPUT'!D212=1,CONCATENATE("{quality = ",'RHS INPUT'!G212,"; price = ",Round('RHS INPUT'!M212),";};"),""))</f>
        <v>{quality = 2; price = 80;};</v>
      </c>
      <c r="E212" t="str">
        <f>IFERROR(__xludf.DUMMYFUNCTION("if(ISBLANK(A212),, if('RHS INPUT'!E212=1,CONCATENATE(CHAR(34),To_Text('RHS INPUT'!C212),CHAR(34),CHAR(44)),""""))"),"""U_B_CombatUniform_mcam_worn"",")</f>
        <v>"U_B_CombatUniform_mcam_worn",</v>
      </c>
      <c r="F212" s="28" t="str">
        <f>IF(isblank(A212) ,Concatenate("&gt; ",'RHS INPUT'!A212) , if('RHS INPUT'!F212=1,CONCATENATE(round('RHS INPUT'!N212),Char(44)," ",'RHS INPUT'!C212),""))</f>
        <v>56, U_B_CombatUniform_mcam_worn</v>
      </c>
    </row>
    <row r="213" ht="12.0" customHeight="1">
      <c r="A213" s="1" t="str">
        <f>IFERROR(__xludf.DUMMYFUNCTION("if(ISBLANK('RHS INPUT'!C213),,CONCATENATE(CHAR(34),To_Text('RHS INPUT'!C213),CHAR(34),CHAR(44)))"),"""U_B_CTRG_1"",")</f>
        <v>"U_B_CTRG_1",</v>
      </c>
      <c r="B213" s="18" t="str">
        <f>if(isblank('RHS INPUT'!A213),,CONCATENATE("/*  ",'RHS INPUT'!A213,"  */"))</f>
        <v/>
      </c>
      <c r="C213" s="22" t="str">
        <f>if(isblank(A213),,if('RHS INPUT'!D213=1,Concatenate("class ",'RHS INPUT'!C213),))</f>
        <v>class U_B_CTRG_1</v>
      </c>
      <c r="D213" s="27" t="str">
        <f>if(ISBLANK(A213),,if('RHS INPUT'!D213=1,CONCATENATE("{quality = ",'RHS INPUT'!G213,"; price = ",Round('RHS INPUT'!M213),";};"),""))</f>
        <v>{quality = 2; price = 80;};</v>
      </c>
      <c r="E213" t="str">
        <f>IFERROR(__xludf.DUMMYFUNCTION("if(ISBLANK(A213),, if('RHS INPUT'!E213=1,CONCATENATE(CHAR(34),To_Text('RHS INPUT'!C213),CHAR(34),CHAR(44)),""""))"),"""U_B_CTRG_1"",")</f>
        <v>"U_B_CTRG_1",</v>
      </c>
      <c r="F213" s="28" t="str">
        <f>IF(isblank(A213) ,Concatenate("&gt; ",'RHS INPUT'!A213) , if('RHS INPUT'!F213=1,CONCATENATE(round('RHS INPUT'!N213),Char(44)," ",'RHS INPUT'!C213),""))</f>
        <v>56, U_B_CTRG_1</v>
      </c>
    </row>
    <row r="214" ht="12.0" customHeight="1">
      <c r="A214" s="1" t="str">
        <f>IFERROR(__xludf.DUMMYFUNCTION("if(ISBLANK('RHS INPUT'!C214),,CONCATENATE(CHAR(34),To_Text('RHS INPUT'!C214),CHAR(34),CHAR(44)))"),"""U_B_CTRG_2"",")</f>
        <v>"U_B_CTRG_2",</v>
      </c>
      <c r="B214" s="18" t="str">
        <f>if(isblank('RHS INPUT'!A214),,CONCATENATE("/*  ",'RHS INPUT'!A214,"  */"))</f>
        <v/>
      </c>
      <c r="C214" s="22" t="str">
        <f>if(isblank(A214),,if('RHS INPUT'!D214=1,Concatenate("class ",'RHS INPUT'!C214),))</f>
        <v>class U_B_CTRG_2</v>
      </c>
      <c r="D214" s="27" t="str">
        <f>if(ISBLANK(A214),,if('RHS INPUT'!D214=1,CONCATENATE("{quality = ",'RHS INPUT'!G214,"; price = ",Round('RHS INPUT'!M214),";};"),""))</f>
        <v>{quality = 2; price = 80;};</v>
      </c>
      <c r="E214" t="str">
        <f>IFERROR(__xludf.DUMMYFUNCTION("if(ISBLANK(A214),, if('RHS INPUT'!E214=1,CONCATENATE(CHAR(34),To_Text('RHS INPUT'!C214),CHAR(34),CHAR(44)),""""))"),"""U_B_CTRG_2"",")</f>
        <v>"U_B_CTRG_2",</v>
      </c>
      <c r="F214" s="28" t="str">
        <f>IF(isblank(A214) ,Concatenate("&gt; ",'RHS INPUT'!A214) , if('RHS INPUT'!F214=1,CONCATENATE(round('RHS INPUT'!N214),Char(44)," ",'RHS INPUT'!C214),""))</f>
        <v>56, U_B_CTRG_2</v>
      </c>
    </row>
    <row r="215" ht="12.0" customHeight="1">
      <c r="A215" s="1" t="str">
        <f>IFERROR(__xludf.DUMMYFUNCTION("if(ISBLANK('RHS INPUT'!C215),,CONCATENATE(CHAR(34),To_Text('RHS INPUT'!C215),CHAR(34),CHAR(44)))"),"""U_B_CTRG_3"",")</f>
        <v>"U_B_CTRG_3",</v>
      </c>
      <c r="B215" s="18" t="str">
        <f>if(isblank('RHS INPUT'!A215),,CONCATENATE("/*  ",'RHS INPUT'!A215,"  */"))</f>
        <v/>
      </c>
      <c r="C215" s="22" t="str">
        <f>if(isblank(A215),,if('RHS INPUT'!D215=1,Concatenate("class ",'RHS INPUT'!C215),))</f>
        <v>class U_B_CTRG_3</v>
      </c>
      <c r="D215" s="27" t="str">
        <f>if(ISBLANK(A215),,if('RHS INPUT'!D215=1,CONCATENATE("{quality = ",'RHS INPUT'!G215,"; price = ",Round('RHS INPUT'!M215),";};"),""))</f>
        <v>{quality = 2; price = 80;};</v>
      </c>
      <c r="E215" t="str">
        <f>IFERROR(__xludf.DUMMYFUNCTION("if(ISBLANK(A215),, if('RHS INPUT'!E215=1,CONCATENATE(CHAR(34),To_Text('RHS INPUT'!C215),CHAR(34),CHAR(44)),""""))"),"""U_B_CTRG_3"",")</f>
        <v>"U_B_CTRG_3",</v>
      </c>
      <c r="F215" s="28" t="str">
        <f>IF(isblank(A215) ,Concatenate("&gt; ",'RHS INPUT'!A215) , if('RHS INPUT'!F215=1,CONCATENATE(round('RHS INPUT'!N215),Char(44)," ",'RHS INPUT'!C215),""))</f>
        <v>56, U_B_CTRG_3</v>
      </c>
    </row>
    <row r="216" ht="12.0" customHeight="1">
      <c r="A216" s="1" t="str">
        <f>IFERROR(__xludf.DUMMYFUNCTION("if(ISBLANK('RHS INPUT'!C216),,CONCATENATE(CHAR(34),To_Text('RHS INPUT'!C216),CHAR(34),CHAR(44)))"),"""U_I_CombatUniform"",")</f>
        <v>"U_I_CombatUniform",</v>
      </c>
      <c r="B216" s="18" t="str">
        <f>if(isblank('RHS INPUT'!A216),,CONCATENATE("/*  ",'RHS INPUT'!A216,"  */"))</f>
        <v/>
      </c>
      <c r="C216" s="22" t="str">
        <f>if(isblank(A216),,if('RHS INPUT'!D216=1,Concatenate("class ",'RHS INPUT'!C216),))</f>
        <v>class U_I_CombatUniform</v>
      </c>
      <c r="D216" s="27" t="str">
        <f>if(ISBLANK(A216),,if('RHS INPUT'!D216=1,CONCATENATE("{quality = ",'RHS INPUT'!G216,"; price = ",Round('RHS INPUT'!M216),";};"),""))</f>
        <v>{quality = 2; price = 80;};</v>
      </c>
      <c r="E216" t="str">
        <f>IFERROR(__xludf.DUMMYFUNCTION("if(ISBLANK(A216),, if('RHS INPUT'!E216=1,CONCATENATE(CHAR(34),To_Text('RHS INPUT'!C216),CHAR(34),CHAR(44)),""""))"),"""U_I_CombatUniform"",")</f>
        <v>"U_I_CombatUniform",</v>
      </c>
      <c r="F216" s="28" t="str">
        <f>IF(isblank(A216) ,Concatenate("&gt; ",'RHS INPUT'!A216) , if('RHS INPUT'!F216=1,CONCATENATE(round('RHS INPUT'!N216),Char(44)," ",'RHS INPUT'!C216),""))</f>
        <v>56, U_I_CombatUniform</v>
      </c>
    </row>
    <row r="217" ht="12.0" customHeight="1">
      <c r="A217" s="1" t="str">
        <f>IFERROR(__xludf.DUMMYFUNCTION("if(ISBLANK('RHS INPUT'!C217),,CONCATENATE(CHAR(34),To_Text('RHS INPUT'!C217),CHAR(34),CHAR(44)))"),"""U_I_CombatUniform_shortsleeve"",")</f>
        <v>"U_I_CombatUniform_shortsleeve",</v>
      </c>
      <c r="B217" s="18" t="str">
        <f>if(isblank('RHS INPUT'!A217),,CONCATENATE("/*  ",'RHS INPUT'!A217,"  */"))</f>
        <v/>
      </c>
      <c r="C217" s="22" t="str">
        <f>if(isblank(A217),,if('RHS INPUT'!D217=1,Concatenate("class ",'RHS INPUT'!C217),))</f>
        <v>class U_I_CombatUniform_shortsleeve</v>
      </c>
      <c r="D217" s="27" t="str">
        <f>if(ISBLANK(A217),,if('RHS INPUT'!D217=1,CONCATENATE("{quality = ",'RHS INPUT'!G217,"; price = ",Round('RHS INPUT'!M217),";};"),""))</f>
        <v>{quality = 2; price = 80;};</v>
      </c>
      <c r="E217" t="str">
        <f>IFERROR(__xludf.DUMMYFUNCTION("if(ISBLANK(A217),, if('RHS INPUT'!E217=1,CONCATENATE(CHAR(34),To_Text('RHS INPUT'!C217),CHAR(34),CHAR(44)),""""))"),"""U_I_CombatUniform_shortsleeve"",")</f>
        <v>"U_I_CombatUniform_shortsleeve",</v>
      </c>
      <c r="F217" s="28" t="str">
        <f>IF(isblank(A217) ,Concatenate("&gt; ",'RHS INPUT'!A217) , if('RHS INPUT'!F217=1,CONCATENATE(round('RHS INPUT'!N217),Char(44)," ",'RHS INPUT'!C217),""))</f>
        <v>56, U_I_CombatUniform_shortsleeve</v>
      </c>
    </row>
    <row r="218" ht="12.0" customHeight="1">
      <c r="A218" s="1" t="str">
        <f>IFERROR(__xludf.DUMMYFUNCTION("if(ISBLANK('RHS INPUT'!C218),,CONCATENATE(CHAR(34),To_Text('RHS INPUT'!C218),CHAR(34),CHAR(44)))"),"""U_I_CombatUniform_tshirt"",")</f>
        <v>"U_I_CombatUniform_tshirt",</v>
      </c>
      <c r="B218" s="18" t="str">
        <f>if(isblank('RHS INPUT'!A218),,CONCATENATE("/*  ",'RHS INPUT'!A218,"  */"))</f>
        <v/>
      </c>
      <c r="C218" s="22" t="str">
        <f>if(isblank(A218),,if('RHS INPUT'!D218=1,Concatenate("class ",'RHS INPUT'!C218),))</f>
        <v>class U_I_CombatUniform_tshirt</v>
      </c>
      <c r="D218" s="27" t="str">
        <f>if(ISBLANK(A218),,if('RHS INPUT'!D218=1,CONCATENATE("{quality = ",'RHS INPUT'!G218,"; price = ",Round('RHS INPUT'!M218),";};"),""))</f>
        <v>{quality = 2; price = 80;};</v>
      </c>
      <c r="E218" t="str">
        <f>IFERROR(__xludf.DUMMYFUNCTION("if(ISBLANK(A218),, if('RHS INPUT'!E218=1,CONCATENATE(CHAR(34),To_Text('RHS INPUT'!C218),CHAR(34),CHAR(44)),""""))"),"""U_I_CombatUniform_tshirt"",")</f>
        <v>"U_I_CombatUniform_tshirt",</v>
      </c>
      <c r="F218" s="28" t="str">
        <f>IF(isblank(A218) ,Concatenate("&gt; ",'RHS INPUT'!A218) , if('RHS INPUT'!F218=1,CONCATENATE(round('RHS INPUT'!N218),Char(44)," ",'RHS INPUT'!C218),""))</f>
        <v>56, U_I_CombatUniform_tshirt</v>
      </c>
    </row>
    <row r="219" ht="12.0" customHeight="1">
      <c r="A219" s="1" t="str">
        <f>IFERROR(__xludf.DUMMYFUNCTION("if(ISBLANK('RHS INPUT'!C219),,CONCATENATE(CHAR(34),To_Text('RHS INPUT'!C219),CHAR(34),CHAR(44)))"),"""U_I_OfficerUniform"",")</f>
        <v>"U_I_OfficerUniform",</v>
      </c>
      <c r="B219" s="18" t="str">
        <f>if(isblank('RHS INPUT'!A219),,CONCATENATE("/*  ",'RHS INPUT'!A219,"  */"))</f>
        <v/>
      </c>
      <c r="C219" s="22" t="str">
        <f>if(isblank(A219),,if('RHS INPUT'!D219=1,Concatenate("class ",'RHS INPUT'!C219),))</f>
        <v>class U_I_OfficerUniform</v>
      </c>
      <c r="D219" s="27" t="str">
        <f>if(ISBLANK(A219),,if('RHS INPUT'!D219=1,CONCATENATE("{quality = ",'RHS INPUT'!G219,"; price = ",Round('RHS INPUT'!M219),";};"),""))</f>
        <v>{quality = 2; price = 80;};</v>
      </c>
      <c r="E219" t="str">
        <f>IFERROR(__xludf.DUMMYFUNCTION("if(ISBLANK(A219),, if('RHS INPUT'!E219=1,CONCATENATE(CHAR(34),To_Text('RHS INPUT'!C219),CHAR(34),CHAR(44)),""""))"),"""U_I_OfficerUniform"",")</f>
        <v>"U_I_OfficerUniform",</v>
      </c>
      <c r="F219" s="28" t="str">
        <f>IF(isblank(A219) ,Concatenate("&gt; ",'RHS INPUT'!A219) , if('RHS INPUT'!F219=1,CONCATENATE(round('RHS INPUT'!N219),Char(44)," ",'RHS INPUT'!C219),""))</f>
        <v>56, U_I_OfficerUniform</v>
      </c>
    </row>
    <row r="220" ht="12.0" customHeight="1">
      <c r="A220" s="1" t="str">
        <f>IFERROR(__xludf.DUMMYFUNCTION("if(ISBLANK('RHS INPUT'!C220),,CONCATENATE(CHAR(34),To_Text('RHS INPUT'!C220),CHAR(34),CHAR(44)))"),"""U_O_CombatUniform_ocamo"",")</f>
        <v>"U_O_CombatUniform_ocamo",</v>
      </c>
      <c r="B220" s="18" t="str">
        <f>if(isblank('RHS INPUT'!A220),,CONCATENATE("/*  ",'RHS INPUT'!A220,"  */"))</f>
        <v/>
      </c>
      <c r="C220" s="22" t="str">
        <f>if(isblank(A220),,if('RHS INPUT'!D220=1,Concatenate("class ",'RHS INPUT'!C220),))</f>
        <v>class U_O_CombatUniform_ocamo</v>
      </c>
      <c r="D220" s="27" t="str">
        <f>if(ISBLANK(A220),,if('RHS INPUT'!D220=1,CONCATENATE("{quality = ",'RHS INPUT'!G220,"; price = ",Round('RHS INPUT'!M220),";};"),""))</f>
        <v>{quality = 2; price = 80;};</v>
      </c>
      <c r="E220" t="str">
        <f>IFERROR(__xludf.DUMMYFUNCTION("if(ISBLANK(A220),, if('RHS INPUT'!E220=1,CONCATENATE(CHAR(34),To_Text('RHS INPUT'!C220),CHAR(34),CHAR(44)),""""))"),"""U_O_CombatUniform_ocamo"",")</f>
        <v>"U_O_CombatUniform_ocamo",</v>
      </c>
      <c r="F220" s="28" t="str">
        <f>IF(isblank(A220) ,Concatenate("&gt; ",'RHS INPUT'!A220) , if('RHS INPUT'!F220=1,CONCATENATE(round('RHS INPUT'!N220),Char(44)," ",'RHS INPUT'!C220),""))</f>
        <v>56, U_O_CombatUniform_ocamo</v>
      </c>
    </row>
    <row r="221" ht="12.0" customHeight="1">
      <c r="A221" s="1" t="str">
        <f>IFERROR(__xludf.DUMMYFUNCTION("if(ISBLANK('RHS INPUT'!C221),,CONCATENATE(CHAR(34),To_Text('RHS INPUT'!C221),CHAR(34),CHAR(44)))"),"""U_O_CombatUniform_oucamo"",")</f>
        <v>"U_O_CombatUniform_oucamo",</v>
      </c>
      <c r="B221" s="18" t="str">
        <f>if(isblank('RHS INPUT'!A221),,CONCATENATE("/*  ",'RHS INPUT'!A221,"  */"))</f>
        <v/>
      </c>
      <c r="C221" s="22" t="str">
        <f>if(isblank(A221),,if('RHS INPUT'!D221=1,Concatenate("class ",'RHS INPUT'!C221),))</f>
        <v>class U_O_CombatUniform_oucamo</v>
      </c>
      <c r="D221" s="27" t="str">
        <f>if(ISBLANK(A221),,if('RHS INPUT'!D221=1,CONCATENATE("{quality = ",'RHS INPUT'!G221,"; price = ",Round('RHS INPUT'!M221),";};"),""))</f>
        <v>{quality = 2; price = 80;};</v>
      </c>
      <c r="E221" t="str">
        <f>IFERROR(__xludf.DUMMYFUNCTION("if(ISBLANK(A221),, if('RHS INPUT'!E221=1,CONCATENATE(CHAR(34),To_Text('RHS INPUT'!C221),CHAR(34),CHAR(44)),""""))"),"""U_O_CombatUniform_oucamo"",")</f>
        <v>"U_O_CombatUniform_oucamo",</v>
      </c>
      <c r="F221" s="28" t="str">
        <f>IF(isblank(A221) ,Concatenate("&gt; ",'RHS INPUT'!A221) , if('RHS INPUT'!F221=1,CONCATENATE(round('RHS INPUT'!N221),Char(44)," ",'RHS INPUT'!C221),""))</f>
        <v>56, U_O_CombatUniform_oucamo</v>
      </c>
    </row>
    <row r="222" ht="12.0" customHeight="1">
      <c r="A222" s="1" t="str">
        <f>IFERROR(__xludf.DUMMYFUNCTION("if(ISBLANK('RHS INPUT'!C222),,CONCATENATE(CHAR(34),To_Text('RHS INPUT'!C222),CHAR(34),CHAR(44)))"),"""U_O_OfficerUniform_ocamo"",")</f>
        <v>"U_O_OfficerUniform_ocamo",</v>
      </c>
      <c r="B222" s="18" t="str">
        <f>if(isblank('RHS INPUT'!A222),,CONCATENATE("/*  ",'RHS INPUT'!A222,"  */"))</f>
        <v/>
      </c>
      <c r="C222" s="22" t="str">
        <f>if(isblank(A222),,if('RHS INPUT'!D222=1,Concatenate("class ",'RHS INPUT'!C222),))</f>
        <v>class U_O_OfficerUniform_ocamo</v>
      </c>
      <c r="D222" s="27" t="str">
        <f>if(ISBLANK(A222),,if('RHS INPUT'!D222=1,CONCATENATE("{quality = ",'RHS INPUT'!G222,"; price = ",Round('RHS INPUT'!M222),";};"),""))</f>
        <v>{quality = 2; price = 80;};</v>
      </c>
      <c r="E222" t="str">
        <f>IFERROR(__xludf.DUMMYFUNCTION("if(ISBLANK(A222),, if('RHS INPUT'!E222=1,CONCATENATE(CHAR(34),To_Text('RHS INPUT'!C222),CHAR(34),CHAR(44)),""""))"),"""U_O_OfficerUniform_ocamo"",")</f>
        <v>"U_O_OfficerUniform_ocamo",</v>
      </c>
      <c r="F222" s="28" t="str">
        <f>IF(isblank(A222) ,Concatenate("&gt; ",'RHS INPUT'!A222) , if('RHS INPUT'!F222=1,CONCATENATE(round('RHS INPUT'!N222),Char(44)," ",'RHS INPUT'!C222),""))</f>
        <v>56, U_O_OfficerUniform_ocamo</v>
      </c>
    </row>
    <row r="223" ht="12.0" customHeight="1">
      <c r="A223" s="1" t="str">
        <f>IFERROR(__xludf.DUMMYFUNCTION("if(ISBLANK('RHS INPUT'!C223),,CONCATENATE(CHAR(34),To_Text('RHS INPUT'!C223),CHAR(34),CHAR(44)))"),"""U_B_SpecopsUniform_sgg"",")</f>
        <v>"U_B_SpecopsUniform_sgg",</v>
      </c>
      <c r="B223" s="18" t="str">
        <f>if(isblank('RHS INPUT'!A223),,CONCATENATE("/*  ",'RHS INPUT'!A223,"  */"))</f>
        <v/>
      </c>
      <c r="C223" s="22" t="str">
        <f>if(isblank(A223),,if('RHS INPUT'!D223=1,Concatenate("class ",'RHS INPUT'!C223),))</f>
        <v>class U_B_SpecopsUniform_sgg</v>
      </c>
      <c r="D223" s="27" t="str">
        <f>if(ISBLANK(A223),,if('RHS INPUT'!D223=1,CONCATENATE("{quality = ",'RHS INPUT'!G223,"; price = ",Round('RHS INPUT'!M223),";};"),""))</f>
        <v>{quality = 3; price = 120;};</v>
      </c>
      <c r="E223" t="str">
        <f>IFERROR(__xludf.DUMMYFUNCTION("if(ISBLANK(A223),, if('RHS INPUT'!E223=1,CONCATENATE(CHAR(34),To_Text('RHS INPUT'!C223),CHAR(34),CHAR(44)),""""))"),"""U_B_SpecopsUniform_sgg"",")</f>
        <v>"U_B_SpecopsUniform_sgg",</v>
      </c>
      <c r="F223" s="28" t="str">
        <f>IF(isblank(A223) ,Concatenate("&gt; ",'RHS INPUT'!A223) , if('RHS INPUT'!F223=1,CONCATENATE(round('RHS INPUT'!N223),Char(44)," ",'RHS INPUT'!C223),""))</f>
        <v>45, U_B_SpecopsUniform_sgg</v>
      </c>
    </row>
    <row r="224" ht="12.0" customHeight="1">
      <c r="A224" s="1" t="str">
        <f>IFERROR(__xludf.DUMMYFUNCTION("if(ISBLANK('RHS INPUT'!C224),,CONCATENATE(CHAR(34),To_Text('RHS INPUT'!C224),CHAR(34),CHAR(44)))"),"""U_O_SpecopsUniform_blk"",")</f>
        <v>"U_O_SpecopsUniform_blk",</v>
      </c>
      <c r="B224" s="18" t="str">
        <f>if(isblank('RHS INPUT'!A224),,CONCATENATE("/*  ",'RHS INPUT'!A224,"  */"))</f>
        <v/>
      </c>
      <c r="C224" s="22" t="str">
        <f>if(isblank(A224),,if('RHS INPUT'!D224=1,Concatenate("class ",'RHS INPUT'!C224),))</f>
        <v>class U_O_SpecopsUniform_blk</v>
      </c>
      <c r="D224" s="27" t="str">
        <f>if(ISBLANK(A224),,if('RHS INPUT'!D224=1,CONCATENATE("{quality = ",'RHS INPUT'!G224,"; price = ",Round('RHS INPUT'!M224),";};"),""))</f>
        <v>{quality = 3; price = 120;};</v>
      </c>
      <c r="E224" t="str">
        <f>IFERROR(__xludf.DUMMYFUNCTION("if(ISBLANK(A224),, if('RHS INPUT'!E224=1,CONCATENATE(CHAR(34),To_Text('RHS INPUT'!C224),CHAR(34),CHAR(44)),""""))"),"""U_O_SpecopsUniform_blk"",")</f>
        <v>"U_O_SpecopsUniform_blk",</v>
      </c>
      <c r="F224" s="28" t="str">
        <f>IF(isblank(A224) ,Concatenate("&gt; ",'RHS INPUT'!A224) , if('RHS INPUT'!F224=1,CONCATENATE(round('RHS INPUT'!N224),Char(44)," ",'RHS INPUT'!C224),""))</f>
        <v>45, U_O_SpecopsUniform_blk</v>
      </c>
    </row>
    <row r="225" ht="12.0" customHeight="1">
      <c r="A225" s="1" t="str">
        <f>IFERROR(__xludf.DUMMYFUNCTION("if(ISBLANK('RHS INPUT'!C225),,CONCATENATE(CHAR(34),To_Text('RHS INPUT'!C225),CHAR(34),CHAR(44)))"),"""U_O_SpecopsUniform_ocamo"",")</f>
        <v>"U_O_SpecopsUniform_ocamo",</v>
      </c>
      <c r="B225" s="18" t="str">
        <f>if(isblank('RHS INPUT'!A225),,CONCATENATE("/*  ",'RHS INPUT'!A225,"  */"))</f>
        <v/>
      </c>
      <c r="C225" s="22" t="str">
        <f>if(isblank(A225),,if('RHS INPUT'!D225=1,Concatenate("class ",'RHS INPUT'!C225),))</f>
        <v>class U_O_SpecopsUniform_ocamo</v>
      </c>
      <c r="D225" s="27" t="str">
        <f>if(ISBLANK(A225),,if('RHS INPUT'!D225=1,CONCATENATE("{quality = ",'RHS INPUT'!G225,"; price = ",Round('RHS INPUT'!M225),";};"),""))</f>
        <v>{quality = 3; price = 120;};</v>
      </c>
      <c r="E225" t="str">
        <f>IFERROR(__xludf.DUMMYFUNCTION("if(ISBLANK(A225),, if('RHS INPUT'!E225=1,CONCATENATE(CHAR(34),To_Text('RHS INPUT'!C225),CHAR(34),CHAR(44)),""""))"),"""U_O_SpecopsUniform_ocamo"",")</f>
        <v>"U_O_SpecopsUniform_ocamo",</v>
      </c>
      <c r="F225" s="28" t="str">
        <f>IF(isblank(A225) ,Concatenate("&gt; ",'RHS INPUT'!A225) , if('RHS INPUT'!F225=1,CONCATENATE(round('RHS INPUT'!N225),Char(44)," ",'RHS INPUT'!C225),""))</f>
        <v>45, U_O_SpecopsUniform_ocamo</v>
      </c>
    </row>
    <row r="226" ht="12.0" customHeight="1">
      <c r="A226" s="1" t="str">
        <f>IFERROR(__xludf.DUMMYFUNCTION("if(ISBLANK('RHS INPUT'!C226),,CONCATENATE(CHAR(34),To_Text('RHS INPUT'!C226),CHAR(34),CHAR(44)))"),"""U_I_G_Story_Protagonist_F"",")</f>
        <v>"U_I_G_Story_Protagonist_F",</v>
      </c>
      <c r="B226" s="18" t="str">
        <f>if(isblank('RHS INPUT'!A226),,CONCATENATE("/*  ",'RHS INPUT'!A226,"  */"))</f>
        <v/>
      </c>
      <c r="C226" s="22" t="str">
        <f>if(isblank(A226),,if('RHS INPUT'!D226=1,Concatenate("class ",'RHS INPUT'!C226),))</f>
        <v>class U_I_G_Story_Protagonist_F</v>
      </c>
      <c r="D226" s="27" t="str">
        <f>if(ISBLANK(A226),,if('RHS INPUT'!D226=1,CONCATENATE("{quality = ",'RHS INPUT'!G226,"; price = ",Round('RHS INPUT'!M226),";};"),""))</f>
        <v>{quality = 2; price = 80;};</v>
      </c>
      <c r="E226" t="str">
        <f>IFERROR(__xludf.DUMMYFUNCTION("if(ISBLANK(A226),, if('RHS INPUT'!E226=1,CONCATENATE(CHAR(34),To_Text('RHS INPUT'!C226),CHAR(34),CHAR(44)),""""))"),"""U_I_G_Story_Protagonist_F"",")</f>
        <v>"U_I_G_Story_Protagonist_F",</v>
      </c>
      <c r="F226" s="28" t="str">
        <f>IF(isblank(A226) ,Concatenate("&gt; ",'RHS INPUT'!A226) , if('RHS INPUT'!F226=1,CONCATENATE(round('RHS INPUT'!N226),Char(44)," ",'RHS INPUT'!C226),""))</f>
        <v>56, U_I_G_Story_Protagonist_F</v>
      </c>
    </row>
    <row r="227" ht="12.0" customHeight="1">
      <c r="A227" s="1" t="str">
        <f>IFERROR(__xludf.DUMMYFUNCTION("if(ISBLANK('RHS INPUT'!C227),,CONCATENATE(CHAR(34),To_Text('RHS INPUT'!C227),CHAR(34),CHAR(44)))"),"""U_B_survival_uniform"",")</f>
        <v>"U_B_survival_uniform",</v>
      </c>
      <c r="B227" s="18" t="str">
        <f>if(isblank('RHS INPUT'!A227),,CONCATENATE("/*  ",'RHS INPUT'!A227,"  */"))</f>
        <v/>
      </c>
      <c r="C227" s="22" t="str">
        <f>if(isblank(A227),,if('RHS INPUT'!D227=1,Concatenate("class ",'RHS INPUT'!C227),))</f>
        <v>class U_B_survival_uniform</v>
      </c>
      <c r="D227" s="27" t="str">
        <f>if(ISBLANK(A227),,if('RHS INPUT'!D227=1,CONCATENATE("{quality = ",'RHS INPUT'!G227,"; price = ",Round('RHS INPUT'!M227),";};"),""))</f>
        <v>{quality = 2; price = 80;};</v>
      </c>
      <c r="E227" t="str">
        <f>IFERROR(__xludf.DUMMYFUNCTION("if(ISBLANK(A227),, if('RHS INPUT'!E227=1,CONCATENATE(CHAR(34),To_Text('RHS INPUT'!C227),CHAR(34),CHAR(44)),""""))"),"""U_B_survival_uniform"",")</f>
        <v>"U_B_survival_uniform",</v>
      </c>
      <c r="F227" s="28" t="str">
        <f>IF(isblank(A227) ,Concatenate("&gt; ",'RHS INPUT'!A227) , if('RHS INPUT'!F227=1,CONCATENATE(round('RHS INPUT'!N227),Char(44)," ",'RHS INPUT'!C227),""))</f>
        <v>56, U_B_survival_uniform</v>
      </c>
    </row>
    <row r="228" ht="12.0" customHeight="1">
      <c r="A228" s="1" t="str">
        <f>IFERROR(__xludf.DUMMYFUNCTION("if(ISBLANK('RHS INPUT'!C228),,CONCATENATE(CHAR(34),To_Text('RHS INPUT'!C228),CHAR(34),CHAR(44)))"),"""Exile_Uniform_Woodland"",")</f>
        <v>"Exile_Uniform_Woodland",</v>
      </c>
      <c r="B228" s="18" t="str">
        <f>if(isblank('RHS INPUT'!A228),,CONCATENATE("/*  ",'RHS INPUT'!A228,"  */"))</f>
        <v/>
      </c>
      <c r="C228" s="22" t="str">
        <f>if(isblank(A228),,if('RHS INPUT'!D228=1,Concatenate("class ",'RHS INPUT'!C228),))</f>
        <v>class Exile_Uniform_Woodland</v>
      </c>
      <c r="D228" s="27" t="str">
        <f>if(ISBLANK(A228),,if('RHS INPUT'!D228=1,CONCATENATE("{quality = ",'RHS INPUT'!G228,"; price = ",Round('RHS INPUT'!M228),";};"),""))</f>
        <v>{quality = 3; price = 240;};</v>
      </c>
      <c r="E228" t="str">
        <f>IFERROR(__xludf.DUMMYFUNCTION("if(ISBLANK(A228),, if('RHS INPUT'!E228=1,CONCATENATE(CHAR(34),To_Text('RHS INPUT'!C228),CHAR(34),CHAR(44)),""""))"),"""Exile_Uniform_Woodland"",")</f>
        <v>"Exile_Uniform_Woodland",</v>
      </c>
      <c r="F228" s="28" t="str">
        <f>IF(isblank(A228) ,Concatenate("&gt; ",'RHS INPUT'!A228) , if('RHS INPUT'!F228=1,CONCATENATE(round('RHS INPUT'!N228),Char(44)," ",'RHS INPUT'!C228),""))</f>
        <v>29, Exile_Uniform_Woodland</v>
      </c>
    </row>
    <row r="229" ht="12.0" customHeight="1">
      <c r="A229" s="1" t="str">
        <f>IFERROR(__xludf.DUMMYFUNCTION("if(ISBLANK('RHS INPUT'!C229),,CONCATENATE(CHAR(34),To_Text('RHS INPUT'!C229),CHAR(34),CHAR(44)))"),"")</f>
        <v/>
      </c>
      <c r="B229" s="18" t="str">
        <f>if(isblank('RHS INPUT'!A229),,CONCATENATE("/*  ",'RHS INPUT'!A229,"  */"))</f>
        <v>/*  GUERILLA_CLOTHING  */</v>
      </c>
      <c r="C229" s="22" t="str">
        <f>if(isblank(A229),,if('RHS INPUT'!D229=1,Concatenate("class ",'RHS INPUT'!C229),))</f>
        <v/>
      </c>
      <c r="D229" s="27" t="str">
        <f>if(ISBLANK(A229),,if('RHS INPUT'!D229=1,CONCATENATE("{quality = ",'RHS INPUT'!G229,"; price = ",Round('RHS INPUT'!M229),";};"),""))</f>
        <v/>
      </c>
      <c r="E229" t="str">
        <f>IFERROR(__xludf.DUMMYFUNCTION("if(ISBLANK(A229),, if('RHS INPUT'!E229=1,CONCATENATE(CHAR(34),To_Text('RHS INPUT'!C229),CHAR(34),CHAR(44)),""""))"),"")</f>
        <v/>
      </c>
      <c r="F229" s="28" t="str">
        <f>IF(isblank(A229) ,Concatenate("&gt; ",'RHS INPUT'!A229) , if('RHS INPUT'!F229=1,CONCATENATE(round('RHS INPUT'!N229),Char(44)," ",'RHS INPUT'!C229),""))</f>
        <v>&gt; GUERILLA_CLOTHING</v>
      </c>
    </row>
    <row r="230" ht="12.0" customHeight="1">
      <c r="A230" s="1" t="str">
        <f>IFERROR(__xludf.DUMMYFUNCTION("if(ISBLANK('RHS INPUT'!C230),,CONCATENATE(CHAR(34),To_Text('RHS INPUT'!C230),CHAR(34),CHAR(44)))"),"""U_IG_Guerilla1_1"",")</f>
        <v>"U_IG_Guerilla1_1",</v>
      </c>
      <c r="B230" s="18" t="str">
        <f>if(isblank('RHS INPUT'!A230),,CONCATENATE("/*  ",'RHS INPUT'!A230,"  */"))</f>
        <v/>
      </c>
      <c r="C230" s="22" t="str">
        <f>if(isblank(A230),,if('RHS INPUT'!D230=1,Concatenate("class ",'RHS INPUT'!C230),))</f>
        <v>class U_IG_Guerilla1_1</v>
      </c>
      <c r="D230" s="27" t="str">
        <f>if(ISBLANK(A230),,if('RHS INPUT'!D230=1,CONCATENATE("{quality = ",'RHS INPUT'!G230,"; price = ",Round('RHS INPUT'!M230),";};"),""))</f>
        <v>{quality = 2; price = 60;};</v>
      </c>
      <c r="E230" t="str">
        <f>IFERROR(__xludf.DUMMYFUNCTION("if(ISBLANK(A230),, if('RHS INPUT'!E230=1,CONCATENATE(CHAR(34),To_Text('RHS INPUT'!C230),CHAR(34),CHAR(44)),""""))"),"""U_IG_Guerilla1_1"",")</f>
        <v>"U_IG_Guerilla1_1",</v>
      </c>
      <c r="F230" s="28" t="str">
        <f>IF(isblank(A230) ,Concatenate("&gt; ",'RHS INPUT'!A230) , if('RHS INPUT'!F230=1,CONCATENATE(round('RHS INPUT'!N230),Char(44)," ",'RHS INPUT'!C230),""))</f>
        <v>63, U_IG_Guerilla1_1</v>
      </c>
    </row>
    <row r="231" ht="12.0" customHeight="1">
      <c r="A231" s="1" t="str">
        <f>IFERROR(__xludf.DUMMYFUNCTION("if(ISBLANK('RHS INPUT'!C231),,CONCATENATE(CHAR(34),To_Text('RHS INPUT'!C231),CHAR(34),CHAR(44)))"),"""U_IG_Guerilla2_1"",")</f>
        <v>"U_IG_Guerilla2_1",</v>
      </c>
      <c r="B231" s="18" t="str">
        <f>if(isblank('RHS INPUT'!A231),,CONCATENATE("/*  ",'RHS INPUT'!A231,"  */"))</f>
        <v/>
      </c>
      <c r="C231" s="22" t="str">
        <f>if(isblank(A231),,if('RHS INPUT'!D231=1,Concatenate("class ",'RHS INPUT'!C231),))</f>
        <v>class U_IG_Guerilla2_1</v>
      </c>
      <c r="D231" s="27" t="str">
        <f>if(ISBLANK(A231),,if('RHS INPUT'!D231=1,CONCATENATE("{quality = ",'RHS INPUT'!G231,"; price = ",Round('RHS INPUT'!M231),";};"),""))</f>
        <v>{quality = 2; price = 60;};</v>
      </c>
      <c r="E231" t="str">
        <f>IFERROR(__xludf.DUMMYFUNCTION("if(ISBLANK(A231),, if('RHS INPUT'!E231=1,CONCATENATE(CHAR(34),To_Text('RHS INPUT'!C231),CHAR(34),CHAR(44)),""""))"),"""U_IG_Guerilla2_1"",")</f>
        <v>"U_IG_Guerilla2_1",</v>
      </c>
      <c r="F231" s="28" t="str">
        <f>IF(isblank(A231) ,Concatenate("&gt; ",'RHS INPUT'!A231) , if('RHS INPUT'!F231=1,CONCATENATE(round('RHS INPUT'!N231),Char(44)," ",'RHS INPUT'!C231),""))</f>
        <v>63, U_IG_Guerilla2_1</v>
      </c>
    </row>
    <row r="232" ht="12.0" customHeight="1">
      <c r="A232" s="1" t="str">
        <f>IFERROR(__xludf.DUMMYFUNCTION("if(ISBLANK('RHS INPUT'!C232),,CONCATENATE(CHAR(34),To_Text('RHS INPUT'!C232),CHAR(34),CHAR(44)))"),"""U_IG_Guerilla2_2"",")</f>
        <v>"U_IG_Guerilla2_2",</v>
      </c>
      <c r="B232" s="18" t="str">
        <f>if(isblank('RHS INPUT'!A232),,CONCATENATE("/*  ",'RHS INPUT'!A232,"  */"))</f>
        <v/>
      </c>
      <c r="C232" s="22" t="str">
        <f>if(isblank(A232),,if('RHS INPUT'!D232=1,Concatenate("class ",'RHS INPUT'!C232),))</f>
        <v>class U_IG_Guerilla2_2</v>
      </c>
      <c r="D232" s="27" t="str">
        <f>if(ISBLANK(A232),,if('RHS INPUT'!D232=1,CONCATENATE("{quality = ",'RHS INPUT'!G232,"; price = ",Round('RHS INPUT'!M232),";};"),""))</f>
        <v>{quality = 2; price = 60;};</v>
      </c>
      <c r="E232" t="str">
        <f>IFERROR(__xludf.DUMMYFUNCTION("if(ISBLANK(A232),, if('RHS INPUT'!E232=1,CONCATENATE(CHAR(34),To_Text('RHS INPUT'!C232),CHAR(34),CHAR(44)),""""))"),"""U_IG_Guerilla2_2"",")</f>
        <v>"U_IG_Guerilla2_2",</v>
      </c>
      <c r="F232" s="28" t="str">
        <f>IF(isblank(A232) ,Concatenate("&gt; ",'RHS INPUT'!A232) , if('RHS INPUT'!F232=1,CONCATENATE(round('RHS INPUT'!N232),Char(44)," ",'RHS INPUT'!C232),""))</f>
        <v>63, U_IG_Guerilla2_2</v>
      </c>
    </row>
    <row r="233" ht="12.0" customHeight="1">
      <c r="A233" s="1" t="str">
        <f>IFERROR(__xludf.DUMMYFUNCTION("if(ISBLANK('RHS INPUT'!C233),,CONCATENATE(CHAR(34),To_Text('RHS INPUT'!C233),CHAR(34),CHAR(44)))"),"""U_IG_Guerilla2_3"",")</f>
        <v>"U_IG_Guerilla2_3",</v>
      </c>
      <c r="B233" s="18" t="str">
        <f>if(isblank('RHS INPUT'!A233),,CONCATENATE("/*  ",'RHS INPUT'!A233,"  */"))</f>
        <v/>
      </c>
      <c r="C233" s="22" t="str">
        <f>if(isblank(A233),,if('RHS INPUT'!D233=1,Concatenate("class ",'RHS INPUT'!C233),))</f>
        <v>class U_IG_Guerilla2_3</v>
      </c>
      <c r="D233" s="27" t="str">
        <f>if(ISBLANK(A233),,if('RHS INPUT'!D233=1,CONCATENATE("{quality = ",'RHS INPUT'!G233,"; price = ",Round('RHS INPUT'!M233),";};"),""))</f>
        <v>{quality = 2; price = 60;};</v>
      </c>
      <c r="E233" t="str">
        <f>IFERROR(__xludf.DUMMYFUNCTION("if(ISBLANK(A233),, if('RHS INPUT'!E233=1,CONCATENATE(CHAR(34),To_Text('RHS INPUT'!C233),CHAR(34),CHAR(44)),""""))"),"""U_IG_Guerilla2_3"",")</f>
        <v>"U_IG_Guerilla2_3",</v>
      </c>
      <c r="F233" s="28" t="str">
        <f>IF(isblank(A233) ,Concatenate("&gt; ",'RHS INPUT'!A233) , if('RHS INPUT'!F233=1,CONCATENATE(round('RHS INPUT'!N233),Char(44)," ",'RHS INPUT'!C233),""))</f>
        <v>63, U_IG_Guerilla2_3</v>
      </c>
    </row>
    <row r="234" ht="12.0" customHeight="1">
      <c r="A234" s="1" t="str">
        <f>IFERROR(__xludf.DUMMYFUNCTION("if(ISBLANK('RHS INPUT'!C234),,CONCATENATE(CHAR(34),To_Text('RHS INPUT'!C234),CHAR(34),CHAR(44)))"),"""U_IG_Guerilla3_1"",")</f>
        <v>"U_IG_Guerilla3_1",</v>
      </c>
      <c r="B234" s="18" t="str">
        <f>if(isblank('RHS INPUT'!A234),,CONCATENATE("/*  ",'RHS INPUT'!A234,"  */"))</f>
        <v/>
      </c>
      <c r="C234" s="22" t="str">
        <f>if(isblank(A234),,if('RHS INPUT'!D234=1,Concatenate("class ",'RHS INPUT'!C234),))</f>
        <v>class U_IG_Guerilla3_1</v>
      </c>
      <c r="D234" s="27" t="str">
        <f>if(ISBLANK(A234),,if('RHS INPUT'!D234=1,CONCATENATE("{quality = ",'RHS INPUT'!G234,"; price = ",Round('RHS INPUT'!M234),";};"),""))</f>
        <v>{quality = 2; price = 100;};</v>
      </c>
      <c r="E234" t="str">
        <f>IFERROR(__xludf.DUMMYFUNCTION("if(ISBLANK(A234),, if('RHS INPUT'!E234=1,CONCATENATE(CHAR(34),To_Text('RHS INPUT'!C234),CHAR(34),CHAR(44)),""""))"),"""U_IG_Guerilla3_1"",")</f>
        <v>"U_IG_Guerilla3_1",</v>
      </c>
      <c r="F234" s="28" t="str">
        <f>IF(isblank(A234) ,Concatenate("&gt; ",'RHS INPUT'!A234) , if('RHS INPUT'!F234=1,CONCATENATE(round('RHS INPUT'!N234),Char(44)," ",'RHS INPUT'!C234),""))</f>
        <v>50, U_IG_Guerilla3_1</v>
      </c>
    </row>
    <row r="235" ht="12.0" customHeight="1">
      <c r="A235" s="1" t="str">
        <f>IFERROR(__xludf.DUMMYFUNCTION("if(ISBLANK('RHS INPUT'!C235),,CONCATENATE(CHAR(34),To_Text('RHS INPUT'!C235),CHAR(34),CHAR(44)))"),"""U_BG_Guerilla2_1"",")</f>
        <v>"U_BG_Guerilla2_1",</v>
      </c>
      <c r="B235" s="18" t="str">
        <f>if(isblank('RHS INPUT'!A235),,CONCATENATE("/*  ",'RHS INPUT'!A235,"  */"))</f>
        <v/>
      </c>
      <c r="C235" s="22" t="str">
        <f>if(isblank(A235),,if('RHS INPUT'!D235=1,Concatenate("class ",'RHS INPUT'!C235),))</f>
        <v>class U_BG_Guerilla2_1</v>
      </c>
      <c r="D235" s="27" t="str">
        <f>if(ISBLANK(A235),,if('RHS INPUT'!D235=1,CONCATENATE("{quality = ",'RHS INPUT'!G235,"; price = ",Round('RHS INPUT'!M235),";};"),""))</f>
        <v>{quality = 2; price = 60;};</v>
      </c>
      <c r="E235" t="str">
        <f>IFERROR(__xludf.DUMMYFUNCTION("if(ISBLANK(A235),, if('RHS INPUT'!E235=1,CONCATENATE(CHAR(34),To_Text('RHS INPUT'!C235),CHAR(34),CHAR(44)),""""))"),"""U_BG_Guerilla2_1"",")</f>
        <v>"U_BG_Guerilla2_1",</v>
      </c>
      <c r="F235" s="28" t="str">
        <f>IF(isblank(A235) ,Concatenate("&gt; ",'RHS INPUT'!A235) , if('RHS INPUT'!F235=1,CONCATENATE(round('RHS INPUT'!N235),Char(44)," ",'RHS INPUT'!C235),""))</f>
        <v>63, U_BG_Guerilla2_1</v>
      </c>
    </row>
    <row r="236" ht="12.0" customHeight="1">
      <c r="A236" s="1" t="str">
        <f>IFERROR(__xludf.DUMMYFUNCTION("if(ISBLANK('RHS INPUT'!C236),,CONCATENATE(CHAR(34),To_Text('RHS INPUT'!C236),CHAR(34),CHAR(44)))"),"""U_IG_Guerilla3_2"",")</f>
        <v>"U_IG_Guerilla3_2",</v>
      </c>
      <c r="B236" s="18" t="str">
        <f>if(isblank('RHS INPUT'!A236),,CONCATENATE("/*  ",'RHS INPUT'!A236,"  */"))</f>
        <v/>
      </c>
      <c r="C236" s="22" t="str">
        <f>if(isblank(A236),,if('RHS INPUT'!D236=1,Concatenate("class ",'RHS INPUT'!C236),))</f>
        <v>class U_IG_Guerilla3_2</v>
      </c>
      <c r="D236" s="27" t="str">
        <f>if(ISBLANK(A236),,if('RHS INPUT'!D236=1,CONCATENATE("{quality = ",'RHS INPUT'!G236,"; price = ",Round('RHS INPUT'!M236),";};"),""))</f>
        <v>{quality = 2; price = 100;};</v>
      </c>
      <c r="E236" t="str">
        <f>IFERROR(__xludf.DUMMYFUNCTION("if(ISBLANK(A236),, if('RHS INPUT'!E236=1,CONCATENATE(CHAR(34),To_Text('RHS INPUT'!C236),CHAR(34),CHAR(44)),""""))"),"""U_IG_Guerilla3_2"",")</f>
        <v>"U_IG_Guerilla3_2",</v>
      </c>
      <c r="F236" s="28" t="str">
        <f>IF(isblank(A236) ,Concatenate("&gt; ",'RHS INPUT'!A236) , if('RHS INPUT'!F236=1,CONCATENATE(round('RHS INPUT'!N236),Char(44)," ",'RHS INPUT'!C236),""))</f>
        <v>50, U_IG_Guerilla3_2</v>
      </c>
    </row>
    <row r="237" ht="12.0" customHeight="1">
      <c r="A237" s="1" t="str">
        <f>IFERROR(__xludf.DUMMYFUNCTION("if(ISBLANK('RHS INPUT'!C237),,CONCATENATE(CHAR(34),To_Text('RHS INPUT'!C237),CHAR(34),CHAR(44)))"),"""U_BG_Guerrilla_6_1"",")</f>
        <v>"U_BG_Guerrilla_6_1",</v>
      </c>
      <c r="B237" s="18" t="str">
        <f>if(isblank('RHS INPUT'!A237),,CONCATENATE("/*  ",'RHS INPUT'!A237,"  */"))</f>
        <v/>
      </c>
      <c r="C237" s="22" t="str">
        <f>if(isblank(A237),,if('RHS INPUT'!D237=1,Concatenate("class ",'RHS INPUT'!C237),))</f>
        <v>class U_BG_Guerrilla_6_1</v>
      </c>
      <c r="D237" s="27" t="str">
        <f>if(ISBLANK(A237),,if('RHS INPUT'!D237=1,CONCATENATE("{quality = ",'RHS INPUT'!G237,"; price = ",Round('RHS INPUT'!M237),";};"),""))</f>
        <v>{quality = 2; price = 60;};</v>
      </c>
      <c r="E237" t="str">
        <f>IFERROR(__xludf.DUMMYFUNCTION("if(ISBLANK(A237),, if('RHS INPUT'!E237=1,CONCATENATE(CHAR(34),To_Text('RHS INPUT'!C237),CHAR(34),CHAR(44)),""""))"),"""U_BG_Guerrilla_6_1"",")</f>
        <v>"U_BG_Guerrilla_6_1",</v>
      </c>
      <c r="F237" s="28" t="str">
        <f>IF(isblank(A237) ,Concatenate("&gt; ",'RHS INPUT'!A237) , if('RHS INPUT'!F237=1,CONCATENATE(round('RHS INPUT'!N237),Char(44)," ",'RHS INPUT'!C237),""))</f>
        <v>63, U_BG_Guerrilla_6_1</v>
      </c>
    </row>
    <row r="238" ht="12.0" customHeight="1">
      <c r="A238" s="1" t="str">
        <f>IFERROR(__xludf.DUMMYFUNCTION("if(ISBLANK('RHS INPUT'!C238),,CONCATENATE(CHAR(34),To_Text('RHS INPUT'!C238),CHAR(34),CHAR(44)))"),"""U_BG_Guerilla1_1"",")</f>
        <v>"U_BG_Guerilla1_1",</v>
      </c>
      <c r="B238" s="18" t="str">
        <f>if(isblank('RHS INPUT'!A238),,CONCATENATE("/*  ",'RHS INPUT'!A238,"  */"))</f>
        <v/>
      </c>
      <c r="C238" s="22" t="str">
        <f>if(isblank(A238),,if('RHS INPUT'!D238=1,Concatenate("class ",'RHS INPUT'!C238),))</f>
        <v>class U_BG_Guerilla1_1</v>
      </c>
      <c r="D238" s="27" t="str">
        <f>if(ISBLANK(A238),,if('RHS INPUT'!D238=1,CONCATENATE("{quality = ",'RHS INPUT'!G238,"; price = ",Round('RHS INPUT'!M238),";};"),""))</f>
        <v>{quality = 2; price = 60;};</v>
      </c>
      <c r="E238" t="str">
        <f>IFERROR(__xludf.DUMMYFUNCTION("if(ISBLANK(A238),, if('RHS INPUT'!E238=1,CONCATENATE(CHAR(34),To_Text('RHS INPUT'!C238),CHAR(34),CHAR(44)),""""))"),"""U_BG_Guerilla1_1"",")</f>
        <v>"U_BG_Guerilla1_1",</v>
      </c>
      <c r="F238" s="28" t="str">
        <f>IF(isblank(A238) ,Concatenate("&gt; ",'RHS INPUT'!A238) , if('RHS INPUT'!F238=1,CONCATENATE(round('RHS INPUT'!N238),Char(44)," ",'RHS INPUT'!C238),""))</f>
        <v>63, U_BG_Guerilla1_1</v>
      </c>
    </row>
    <row r="239" ht="12.0" customHeight="1">
      <c r="A239" s="1" t="str">
        <f>IFERROR(__xludf.DUMMYFUNCTION("if(ISBLANK('RHS INPUT'!C239),,CONCATENATE(CHAR(34),To_Text('RHS INPUT'!C239),CHAR(34),CHAR(44)))"),"""U_BG_Guerilla2_2"",")</f>
        <v>"U_BG_Guerilla2_2",</v>
      </c>
      <c r="B239" s="18" t="str">
        <f>if(isblank('RHS INPUT'!A239),,CONCATENATE("/*  ",'RHS INPUT'!A239,"  */"))</f>
        <v/>
      </c>
      <c r="C239" s="22" t="str">
        <f>if(isblank(A239),,if('RHS INPUT'!D239=1,Concatenate("class ",'RHS INPUT'!C239),))</f>
        <v>class U_BG_Guerilla2_2</v>
      </c>
      <c r="D239" s="27" t="str">
        <f>if(ISBLANK(A239),,if('RHS INPUT'!D239=1,CONCATENATE("{quality = ",'RHS INPUT'!G239,"; price = ",Round('RHS INPUT'!M239),";};"),""))</f>
        <v>{quality = 2; price = 60;};</v>
      </c>
      <c r="E239" t="str">
        <f>IFERROR(__xludf.DUMMYFUNCTION("if(ISBLANK(A239),, if('RHS INPUT'!E239=1,CONCATENATE(CHAR(34),To_Text('RHS INPUT'!C239),CHAR(34),CHAR(44)),""""))"),"""U_BG_Guerilla2_2"",")</f>
        <v>"U_BG_Guerilla2_2",</v>
      </c>
      <c r="F239" s="28" t="str">
        <f>IF(isblank(A239) ,Concatenate("&gt; ",'RHS INPUT'!A239) , if('RHS INPUT'!F239=1,CONCATENATE(round('RHS INPUT'!N239),Char(44)," ",'RHS INPUT'!C239),""))</f>
        <v>63, U_BG_Guerilla2_2</v>
      </c>
    </row>
    <row r="240" ht="12.0" customHeight="1">
      <c r="A240" s="1" t="str">
        <f>IFERROR(__xludf.DUMMYFUNCTION("if(ISBLANK('RHS INPUT'!C240),,CONCATENATE(CHAR(34),To_Text('RHS INPUT'!C240),CHAR(34),CHAR(44)))"),"""U_BG_Guerilla2_3"",")</f>
        <v>"U_BG_Guerilla2_3",</v>
      </c>
      <c r="B240" s="18" t="str">
        <f>if(isblank('RHS INPUT'!A240),,CONCATENATE("/*  ",'RHS INPUT'!A240,"  */"))</f>
        <v/>
      </c>
      <c r="C240" s="22" t="str">
        <f>if(isblank(A240),,if('RHS INPUT'!D240=1,Concatenate("class ",'RHS INPUT'!C240),))</f>
        <v>class U_BG_Guerilla2_3</v>
      </c>
      <c r="D240" s="27" t="str">
        <f>if(ISBLANK(A240),,if('RHS INPUT'!D240=1,CONCATENATE("{quality = ",'RHS INPUT'!G240,"; price = ",Round('RHS INPUT'!M240),";};"),""))</f>
        <v>{quality = 2; price = 60;};</v>
      </c>
      <c r="E240" t="str">
        <f>IFERROR(__xludf.DUMMYFUNCTION("if(ISBLANK(A240),, if('RHS INPUT'!E240=1,CONCATENATE(CHAR(34),To_Text('RHS INPUT'!C240),CHAR(34),CHAR(44)),""""))"),"""U_BG_Guerilla2_3"",")</f>
        <v>"U_BG_Guerilla2_3",</v>
      </c>
      <c r="F240" s="28" t="str">
        <f>IF(isblank(A240) ,Concatenate("&gt; ",'RHS INPUT'!A240) , if('RHS INPUT'!F240=1,CONCATENATE(round('RHS INPUT'!N240),Char(44)," ",'RHS INPUT'!C240),""))</f>
        <v>63, U_BG_Guerilla2_3</v>
      </c>
    </row>
    <row r="241" ht="12.0" customHeight="1">
      <c r="A241" s="1" t="str">
        <f>IFERROR(__xludf.DUMMYFUNCTION("if(ISBLANK('RHS INPUT'!C241),,CONCATENATE(CHAR(34),To_Text('RHS INPUT'!C241),CHAR(34),CHAR(44)))"),"""U_BG_Guerilla3_1"",")</f>
        <v>"U_BG_Guerilla3_1",</v>
      </c>
      <c r="B241" s="18" t="str">
        <f>if(isblank('RHS INPUT'!A241),,CONCATENATE("/*  ",'RHS INPUT'!A241,"  */"))</f>
        <v/>
      </c>
      <c r="C241" s="22" t="str">
        <f>if(isblank(A241),,if('RHS INPUT'!D241=1,Concatenate("class ",'RHS INPUT'!C241),))</f>
        <v>class U_BG_Guerilla3_1</v>
      </c>
      <c r="D241" s="27" t="str">
        <f>if(ISBLANK(A241),,if('RHS INPUT'!D241=1,CONCATENATE("{quality = ",'RHS INPUT'!G241,"; price = ",Round('RHS INPUT'!M241),";};"),""))</f>
        <v>{quality = 2; price = 100;};</v>
      </c>
      <c r="E241" t="str">
        <f>IFERROR(__xludf.DUMMYFUNCTION("if(ISBLANK(A241),, if('RHS INPUT'!E241=1,CONCATENATE(CHAR(34),To_Text('RHS INPUT'!C241),CHAR(34),CHAR(44)),""""))"),"""U_BG_Guerilla3_1"",")</f>
        <v>"U_BG_Guerilla3_1",</v>
      </c>
      <c r="F241" s="28" t="str">
        <f>IF(isblank(A241) ,Concatenate("&gt; ",'RHS INPUT'!A241) , if('RHS INPUT'!F241=1,CONCATENATE(round('RHS INPUT'!N241),Char(44)," ",'RHS INPUT'!C241),""))</f>
        <v>50, U_BG_Guerilla3_1</v>
      </c>
    </row>
    <row r="242" ht="12.0" customHeight="1">
      <c r="A242" s="1" t="str">
        <f>IFERROR(__xludf.DUMMYFUNCTION("if(ISBLANK('RHS INPUT'!C242),,CONCATENATE(CHAR(34),To_Text('RHS INPUT'!C242),CHAR(34),CHAR(44)))"),"""U_BG_leader"",")</f>
        <v>"U_BG_leader",</v>
      </c>
      <c r="B242" s="18" t="str">
        <f>if(isblank('RHS INPUT'!A242),,CONCATENATE("/*  ",'RHS INPUT'!A242,"  */"))</f>
        <v/>
      </c>
      <c r="C242" s="22" t="str">
        <f>if(isblank(A242),,if('RHS INPUT'!D242=1,Concatenate("class ",'RHS INPUT'!C242),))</f>
        <v>class U_BG_leader</v>
      </c>
      <c r="D242" s="27" t="str">
        <f>if(ISBLANK(A242),,if('RHS INPUT'!D242=1,CONCATENATE("{quality = ",'RHS INPUT'!G242,"; price = ",Round('RHS INPUT'!M242),";};"),""))</f>
        <v>{quality = 2; price = 80;};</v>
      </c>
      <c r="E242" t="str">
        <f>IFERROR(__xludf.DUMMYFUNCTION("if(ISBLANK(A242),, if('RHS INPUT'!E242=1,CONCATENATE(CHAR(34),To_Text('RHS INPUT'!C242),CHAR(34),CHAR(44)),""""))"),"""U_BG_leader"",")</f>
        <v>"U_BG_leader",</v>
      </c>
      <c r="F242" s="28" t="str">
        <f>IF(isblank(A242) ,Concatenate("&gt; ",'RHS INPUT'!A242) , if('RHS INPUT'!F242=1,CONCATENATE(round('RHS INPUT'!N242),Char(44)," ",'RHS INPUT'!C242),""))</f>
        <v>56, U_BG_leader</v>
      </c>
    </row>
    <row r="243" ht="12.0" customHeight="1">
      <c r="A243" s="1" t="str">
        <f>IFERROR(__xludf.DUMMYFUNCTION("if(ISBLANK('RHS INPUT'!C243),,CONCATENATE(CHAR(34),To_Text('RHS INPUT'!C243),CHAR(34),CHAR(44)))"),"""U_IG_leader"",")</f>
        <v>"U_IG_leader",</v>
      </c>
      <c r="B243" s="18" t="str">
        <f>if(isblank('RHS INPUT'!A243),,CONCATENATE("/*  ",'RHS INPUT'!A243,"  */"))</f>
        <v/>
      </c>
      <c r="C243" s="22" t="str">
        <f>if(isblank(A243),,if('RHS INPUT'!D243=1,Concatenate("class ",'RHS INPUT'!C243),))</f>
        <v>class U_IG_leader</v>
      </c>
      <c r="D243" s="27" t="str">
        <f>if(ISBLANK(A243),,if('RHS INPUT'!D243=1,CONCATENATE("{quality = ",'RHS INPUT'!G243,"; price = ",Round('RHS INPUT'!M243),";};"),""))</f>
        <v>{quality = 2; price = 80;};</v>
      </c>
      <c r="E243" t="str">
        <f>IFERROR(__xludf.DUMMYFUNCTION("if(ISBLANK(A243),, if('RHS INPUT'!E243=1,CONCATENATE(CHAR(34),To_Text('RHS INPUT'!C243),CHAR(34),CHAR(44)),""""))"),"""U_IG_leader"",")</f>
        <v>"U_IG_leader",</v>
      </c>
      <c r="F243" s="28" t="str">
        <f>IF(isblank(A243) ,Concatenate("&gt; ",'RHS INPUT'!A243) , if('RHS INPUT'!F243=1,CONCATENATE(round('RHS INPUT'!N243),Char(44)," ",'RHS INPUT'!C243),""))</f>
        <v>56, U_IG_leader</v>
      </c>
    </row>
    <row r="244" ht="12.0" customHeight="1">
      <c r="A244" s="1" t="str">
        <f>IFERROR(__xludf.DUMMYFUNCTION("if(ISBLANK('RHS INPUT'!C244),,CONCATENATE(CHAR(34),To_Text('RHS INPUT'!C244),CHAR(34),CHAR(44)))"),"""U_I_G_resistanceLeader_F"",")</f>
        <v>"U_I_G_resistanceLeader_F",</v>
      </c>
      <c r="B244" s="18" t="str">
        <f>if(isblank('RHS INPUT'!A244),,CONCATENATE("/*  ",'RHS INPUT'!A244,"  */"))</f>
        <v/>
      </c>
      <c r="C244" s="22" t="str">
        <f>if(isblank(A244),,if('RHS INPUT'!D244=1,Concatenate("class ",'RHS INPUT'!C244),))</f>
        <v>class U_I_G_resistanceLeader_F</v>
      </c>
      <c r="D244" s="27" t="str">
        <f>if(ISBLANK(A244),,if('RHS INPUT'!D244=1,CONCATENATE("{quality = ",'RHS INPUT'!G244,"; price = ",Round('RHS INPUT'!M244),";};"),""))</f>
        <v>{quality = 2; price = 80;};</v>
      </c>
      <c r="E244" t="str">
        <f>IFERROR(__xludf.DUMMYFUNCTION("if(ISBLANK(A244),, if('RHS INPUT'!E244=1,CONCATENATE(CHAR(34),To_Text('RHS INPUT'!C244),CHAR(34),CHAR(44)),""""))"),"""U_I_G_resistanceLeader_F"",")</f>
        <v>"U_I_G_resistanceLeader_F",</v>
      </c>
      <c r="F244" s="28" t="str">
        <f>IF(isblank(A244) ,Concatenate("&gt; ",'RHS INPUT'!A244) , if('RHS INPUT'!F244=1,CONCATENATE(round('RHS INPUT'!N244),Char(44)," ",'RHS INPUT'!C244),""))</f>
        <v>56, U_I_G_resistanceLeader_F</v>
      </c>
    </row>
    <row r="245" ht="12.0" customHeight="1">
      <c r="A245" s="1" t="str">
        <f>IFERROR(__xludf.DUMMYFUNCTION("if(ISBLANK('RHS INPUT'!C245),,CONCATENATE(CHAR(34),To_Text('RHS INPUT'!C245),CHAR(34),CHAR(44)))"),"")</f>
        <v/>
      </c>
      <c r="B245" s="18" t="str">
        <f>if(isblank('RHS INPUT'!A245),,CONCATENATE("/*  ",'RHS INPUT'!A245,"  */"))</f>
        <v>/*  GHILLIE_SUITS  */</v>
      </c>
      <c r="C245" s="22" t="str">
        <f>if(isblank(A245),,if('RHS INPUT'!D245=1,Concatenate("class ",'RHS INPUT'!C245),))</f>
        <v/>
      </c>
      <c r="D245" s="27" t="str">
        <f>if(ISBLANK(A245),,if('RHS INPUT'!D245=1,CONCATENATE("{quality = ",'RHS INPUT'!G245,"; price = ",Round('RHS INPUT'!M245),";};"),""))</f>
        <v/>
      </c>
      <c r="E245" t="str">
        <f>IFERROR(__xludf.DUMMYFUNCTION("if(ISBLANK(A245),, if('RHS INPUT'!E245=1,CONCATENATE(CHAR(34),To_Text('RHS INPUT'!C245),CHAR(34),CHAR(44)),""""))"),"")</f>
        <v/>
      </c>
      <c r="F245" s="28" t="str">
        <f>IF(isblank(A245) ,Concatenate("&gt; ",'RHS INPUT'!A245) , if('RHS INPUT'!F245=1,CONCATENATE(round('RHS INPUT'!N245),Char(44)," ",'RHS INPUT'!C245),""))</f>
        <v>&gt; GHILLIE_SUITS</v>
      </c>
    </row>
    <row r="246" ht="12.0" customHeight="1">
      <c r="A246" s="1" t="str">
        <f>IFERROR(__xludf.DUMMYFUNCTION("if(ISBLANK('RHS INPUT'!C246),,CONCATENATE(CHAR(34),To_Text('RHS INPUT'!C246),CHAR(34),CHAR(44)))"),"""U_B_FullGhillie_ard"",")</f>
        <v>"U_B_FullGhillie_ard",</v>
      </c>
      <c r="B246" s="18" t="str">
        <f>if(isblank('RHS INPUT'!A246),,CONCATENATE("/*  ",'RHS INPUT'!A246,"  */"))</f>
        <v/>
      </c>
      <c r="C246" s="22" t="str">
        <f>if(isblank(A246),,if('RHS INPUT'!D246=1,Concatenate("class ",'RHS INPUT'!C246),))</f>
        <v>class U_B_FullGhillie_ard</v>
      </c>
      <c r="D246" s="27" t="str">
        <f>if(ISBLANK(A246),,if('RHS INPUT'!D246=1,CONCATENATE("{quality = ",'RHS INPUT'!G246,"; price = ",Round('RHS INPUT'!M246),";};"),""))</f>
        <v>{quality = 3; price = 240;};</v>
      </c>
      <c r="E246" t="str">
        <f>IFERROR(__xludf.DUMMYFUNCTION("if(ISBLANK(A246),, if('RHS INPUT'!E246=1,CONCATENATE(CHAR(34),To_Text('RHS INPUT'!C246),CHAR(34),CHAR(44)),""""))"),"""U_B_FullGhillie_ard"",")</f>
        <v>"U_B_FullGhillie_ard",</v>
      </c>
      <c r="F246" s="28" t="str">
        <f>IF(isblank(A246) ,Concatenate("&gt; ",'RHS INPUT'!A246) , if('RHS INPUT'!F246=1,CONCATENATE(round('RHS INPUT'!N246),Char(44)," ",'RHS INPUT'!C246),""))</f>
        <v>29, U_B_FullGhillie_ard</v>
      </c>
    </row>
    <row r="247" ht="12.0" customHeight="1">
      <c r="A247" s="1" t="str">
        <f>IFERROR(__xludf.DUMMYFUNCTION("if(ISBLANK('RHS INPUT'!C247),,CONCATENATE(CHAR(34),To_Text('RHS INPUT'!C247),CHAR(34),CHAR(44)))"),"""U_B_FullGhillie_lsh"",")</f>
        <v>"U_B_FullGhillie_lsh",</v>
      </c>
      <c r="B247" s="18" t="str">
        <f>if(isblank('RHS INPUT'!A247),,CONCATENATE("/*  ",'RHS INPUT'!A247,"  */"))</f>
        <v/>
      </c>
      <c r="C247" s="22" t="str">
        <f>if(isblank(A247),,if('RHS INPUT'!D247=1,Concatenate("class ",'RHS INPUT'!C247),))</f>
        <v>class U_B_FullGhillie_lsh</v>
      </c>
      <c r="D247" s="27" t="str">
        <f>if(ISBLANK(A247),,if('RHS INPUT'!D247=1,CONCATENATE("{quality = ",'RHS INPUT'!G247,"; price = ",Round('RHS INPUT'!M247),";};"),""))</f>
        <v>{quality = 3; price = 240;};</v>
      </c>
      <c r="E247" t="str">
        <f>IFERROR(__xludf.DUMMYFUNCTION("if(ISBLANK(A247),, if('RHS INPUT'!E247=1,CONCATENATE(CHAR(34),To_Text('RHS INPUT'!C247),CHAR(34),CHAR(44)),""""))"),"""U_B_FullGhillie_lsh"",")</f>
        <v>"U_B_FullGhillie_lsh",</v>
      </c>
      <c r="F247" s="28" t="str">
        <f>IF(isblank(A247) ,Concatenate("&gt; ",'RHS INPUT'!A247) , if('RHS INPUT'!F247=1,CONCATENATE(round('RHS INPUT'!N247),Char(44)," ",'RHS INPUT'!C247),""))</f>
        <v>29, U_B_FullGhillie_lsh</v>
      </c>
    </row>
    <row r="248" ht="12.0" customHeight="1">
      <c r="A248" s="1" t="str">
        <f>IFERROR(__xludf.DUMMYFUNCTION("if(ISBLANK('RHS INPUT'!C248),,CONCATENATE(CHAR(34),To_Text('RHS INPUT'!C248),CHAR(34),CHAR(44)))"),"""U_B_FullGhillie_sard"",")</f>
        <v>"U_B_FullGhillie_sard",</v>
      </c>
      <c r="B248" s="18" t="str">
        <f>if(isblank('RHS INPUT'!A248),,CONCATENATE("/*  ",'RHS INPUT'!A248,"  */"))</f>
        <v/>
      </c>
      <c r="C248" s="22" t="str">
        <f>if(isblank(A248),,if('RHS INPUT'!D248=1,Concatenate("class ",'RHS INPUT'!C248),))</f>
        <v>class U_B_FullGhillie_sard</v>
      </c>
      <c r="D248" s="27" t="str">
        <f>if(ISBLANK(A248),,if('RHS INPUT'!D248=1,CONCATENATE("{quality = ",'RHS INPUT'!G248,"; price = ",Round('RHS INPUT'!M248),";};"),""))</f>
        <v>{quality = 3; price = 240;};</v>
      </c>
      <c r="E248" t="str">
        <f>IFERROR(__xludf.DUMMYFUNCTION("if(ISBLANK(A248),, if('RHS INPUT'!E248=1,CONCATENATE(CHAR(34),To_Text('RHS INPUT'!C248),CHAR(34),CHAR(44)),""""))"),"""U_B_FullGhillie_sard"",")</f>
        <v>"U_B_FullGhillie_sard",</v>
      </c>
      <c r="F248" s="28" t="str">
        <f>IF(isblank(A248) ,Concatenate("&gt; ",'RHS INPUT'!A248) , if('RHS INPUT'!F248=1,CONCATENATE(round('RHS INPUT'!N248),Char(44)," ",'RHS INPUT'!C248),""))</f>
        <v>29, U_B_FullGhillie_sard</v>
      </c>
    </row>
    <row r="249" ht="12.0" customHeight="1">
      <c r="A249" s="1" t="str">
        <f>IFERROR(__xludf.DUMMYFUNCTION("if(ISBLANK('RHS INPUT'!C249),,CONCATENATE(CHAR(34),To_Text('RHS INPUT'!C249),CHAR(34),CHAR(44)))"),"""U_B_GhillieSuit"",")</f>
        <v>"U_B_GhillieSuit",</v>
      </c>
      <c r="B249" s="18" t="str">
        <f>if(isblank('RHS INPUT'!A249),,CONCATENATE("/*  ",'RHS INPUT'!A249,"  */"))</f>
        <v/>
      </c>
      <c r="C249" s="22" t="str">
        <f>if(isblank(A249),,if('RHS INPUT'!D249=1,Concatenate("class ",'RHS INPUT'!C249),))</f>
        <v>class U_B_GhillieSuit</v>
      </c>
      <c r="D249" s="27" t="str">
        <f>if(ISBLANK(A249),,if('RHS INPUT'!D249=1,CONCATENATE("{quality = ",'RHS INPUT'!G249,"; price = ",Round('RHS INPUT'!M249),";};"),""))</f>
        <v>{quality = 3; price = 180;};</v>
      </c>
      <c r="E249" t="str">
        <f>IFERROR(__xludf.DUMMYFUNCTION("if(ISBLANK(A249),, if('RHS INPUT'!E249=1,CONCATENATE(CHAR(34),To_Text('RHS INPUT'!C249),CHAR(34),CHAR(44)),""""))"),"""U_B_GhillieSuit"",")</f>
        <v>"U_B_GhillieSuit",</v>
      </c>
      <c r="F249" s="28" t="str">
        <f>IF(isblank(A249) ,Concatenate("&gt; ",'RHS INPUT'!A249) , if('RHS INPUT'!F249=1,CONCATENATE(round('RHS INPUT'!N249),Char(44)," ",'RHS INPUT'!C249),""))</f>
        <v>36, U_B_GhillieSuit</v>
      </c>
    </row>
    <row r="250" ht="12.0" customHeight="1">
      <c r="A250" s="1" t="str">
        <f>IFERROR(__xludf.DUMMYFUNCTION("if(ISBLANK('RHS INPUT'!C250),,CONCATENATE(CHAR(34),To_Text('RHS INPUT'!C250),CHAR(34),CHAR(44)))"),"""U_I_FullGhillie_ard"",")</f>
        <v>"U_I_FullGhillie_ard",</v>
      </c>
      <c r="B250" s="18" t="str">
        <f>if(isblank('RHS INPUT'!A250),,CONCATENATE("/*  ",'RHS INPUT'!A250,"  */"))</f>
        <v/>
      </c>
      <c r="C250" s="22" t="str">
        <f>if(isblank(A250),,if('RHS INPUT'!D250=1,Concatenate("class ",'RHS INPUT'!C250),))</f>
        <v>class U_I_FullGhillie_ard</v>
      </c>
      <c r="D250" s="27" t="str">
        <f>if(ISBLANK(A250),,if('RHS INPUT'!D250=1,CONCATENATE("{quality = ",'RHS INPUT'!G250,"; price = ",Round('RHS INPUT'!M250),";};"),""))</f>
        <v>{quality = 3; price = 240;};</v>
      </c>
      <c r="E250" t="str">
        <f>IFERROR(__xludf.DUMMYFUNCTION("if(ISBLANK(A250),, if('RHS INPUT'!E250=1,CONCATENATE(CHAR(34),To_Text('RHS INPUT'!C250),CHAR(34),CHAR(44)),""""))"),"""U_I_FullGhillie_ard"",")</f>
        <v>"U_I_FullGhillie_ard",</v>
      </c>
      <c r="F250" s="28" t="str">
        <f>IF(isblank(A250) ,Concatenate("&gt; ",'RHS INPUT'!A250) , if('RHS INPUT'!F250=1,CONCATENATE(round('RHS INPUT'!N250),Char(44)," ",'RHS INPUT'!C250),""))</f>
        <v>29, U_I_FullGhillie_ard</v>
      </c>
    </row>
    <row r="251" ht="12.0" customHeight="1">
      <c r="A251" s="1" t="str">
        <f>IFERROR(__xludf.DUMMYFUNCTION("if(ISBLANK('RHS INPUT'!C251),,CONCATENATE(CHAR(34),To_Text('RHS INPUT'!C251),CHAR(34),CHAR(44)))"),"""U_I_FullGhillie_lsh"",")</f>
        <v>"U_I_FullGhillie_lsh",</v>
      </c>
      <c r="B251" s="18" t="str">
        <f>if(isblank('RHS INPUT'!A251),,CONCATENATE("/*  ",'RHS INPUT'!A251,"  */"))</f>
        <v/>
      </c>
      <c r="C251" s="22" t="str">
        <f>if(isblank(A251),,if('RHS INPUT'!D251=1,Concatenate("class ",'RHS INPUT'!C251),))</f>
        <v>class U_I_FullGhillie_lsh</v>
      </c>
      <c r="D251" s="27" t="str">
        <f>if(ISBLANK(A251),,if('RHS INPUT'!D251=1,CONCATENATE("{quality = ",'RHS INPUT'!G251,"; price = ",Round('RHS INPUT'!M251),";};"),""))</f>
        <v>{quality = 3; price = 240;};</v>
      </c>
      <c r="E251" t="str">
        <f>IFERROR(__xludf.DUMMYFUNCTION("if(ISBLANK(A251),, if('RHS INPUT'!E251=1,CONCATENATE(CHAR(34),To_Text('RHS INPUT'!C251),CHAR(34),CHAR(44)),""""))"),"""U_I_FullGhillie_lsh"",")</f>
        <v>"U_I_FullGhillie_lsh",</v>
      </c>
      <c r="F251" s="28" t="str">
        <f>IF(isblank(A251) ,Concatenate("&gt; ",'RHS INPUT'!A251) , if('RHS INPUT'!F251=1,CONCATENATE(round('RHS INPUT'!N251),Char(44)," ",'RHS INPUT'!C251),""))</f>
        <v>29, U_I_FullGhillie_lsh</v>
      </c>
    </row>
    <row r="252" ht="12.0" customHeight="1">
      <c r="A252" s="1" t="str">
        <f>IFERROR(__xludf.DUMMYFUNCTION("if(ISBLANK('RHS INPUT'!C252),,CONCATENATE(CHAR(34),To_Text('RHS INPUT'!C252),CHAR(34),CHAR(44)))"),"""U_I_FullGhillie_sard"",")</f>
        <v>"U_I_FullGhillie_sard",</v>
      </c>
      <c r="B252" s="18" t="str">
        <f>if(isblank('RHS INPUT'!A252),,CONCATENATE("/*  ",'RHS INPUT'!A252,"  */"))</f>
        <v/>
      </c>
      <c r="C252" s="22" t="str">
        <f>if(isblank(A252),,if('RHS INPUT'!D252=1,Concatenate("class ",'RHS INPUT'!C252),))</f>
        <v>class U_I_FullGhillie_sard</v>
      </c>
      <c r="D252" s="27" t="str">
        <f>if(ISBLANK(A252),,if('RHS INPUT'!D252=1,CONCATENATE("{quality = ",'RHS INPUT'!G252,"; price = ",Round('RHS INPUT'!M252),";};"),""))</f>
        <v>{quality = 3; price = 240;};</v>
      </c>
      <c r="E252" t="str">
        <f>IFERROR(__xludf.DUMMYFUNCTION("if(ISBLANK(A252),, if('RHS INPUT'!E252=1,CONCATENATE(CHAR(34),To_Text('RHS INPUT'!C252),CHAR(34),CHAR(44)),""""))"),"""U_I_FullGhillie_sard"",")</f>
        <v>"U_I_FullGhillie_sard",</v>
      </c>
      <c r="F252" s="28" t="str">
        <f>IF(isblank(A252) ,Concatenate("&gt; ",'RHS INPUT'!A252) , if('RHS INPUT'!F252=1,CONCATENATE(round('RHS INPUT'!N252),Char(44)," ",'RHS INPUT'!C252),""))</f>
        <v>29, U_I_FullGhillie_sard</v>
      </c>
    </row>
    <row r="253" ht="12.0" customHeight="1">
      <c r="A253" s="1" t="str">
        <f>IFERROR(__xludf.DUMMYFUNCTION("if(ISBLANK('RHS INPUT'!C253),,CONCATENATE(CHAR(34),To_Text('RHS INPUT'!C253),CHAR(34),CHAR(44)))"),"""U_I_GhillieSuit"",")</f>
        <v>"U_I_GhillieSuit",</v>
      </c>
      <c r="B253" s="18" t="str">
        <f>if(isblank('RHS INPUT'!A253),,CONCATENATE("/*  ",'RHS INPUT'!A253,"  */"))</f>
        <v/>
      </c>
      <c r="C253" s="22" t="str">
        <f>if(isblank(A253),,if('RHS INPUT'!D253=1,Concatenate("class ",'RHS INPUT'!C253),))</f>
        <v>class U_I_GhillieSuit</v>
      </c>
      <c r="D253" s="27" t="str">
        <f>if(ISBLANK(A253),,if('RHS INPUT'!D253=1,CONCATENATE("{quality = ",'RHS INPUT'!G253,"; price = ",Round('RHS INPUT'!M253),";};"),""))</f>
        <v>{quality = 3; price = 180;};</v>
      </c>
      <c r="E253" t="str">
        <f>IFERROR(__xludf.DUMMYFUNCTION("if(ISBLANK(A253),, if('RHS INPUT'!E253=1,CONCATENATE(CHAR(34),To_Text('RHS INPUT'!C253),CHAR(34),CHAR(44)),""""))"),"""U_I_GhillieSuit"",")</f>
        <v>"U_I_GhillieSuit",</v>
      </c>
      <c r="F253" s="28" t="str">
        <f>IF(isblank(A253) ,Concatenate("&gt; ",'RHS INPUT'!A253) , if('RHS INPUT'!F253=1,CONCATENATE(round('RHS INPUT'!N253),Char(44)," ",'RHS INPUT'!C253),""))</f>
        <v>36, U_I_GhillieSuit</v>
      </c>
    </row>
    <row r="254" ht="12.0" customHeight="1">
      <c r="A254" s="1" t="str">
        <f>IFERROR(__xludf.DUMMYFUNCTION("if(ISBLANK('RHS INPUT'!C254),,CONCATENATE(CHAR(34),To_Text('RHS INPUT'!C254),CHAR(34),CHAR(44)))"),"""U_O_FullGhillie_ard"",")</f>
        <v>"U_O_FullGhillie_ard",</v>
      </c>
      <c r="B254" s="18" t="str">
        <f>if(isblank('RHS INPUT'!A254),,CONCATENATE("/*  ",'RHS INPUT'!A254,"  */"))</f>
        <v/>
      </c>
      <c r="C254" s="22" t="str">
        <f>if(isblank(A254),,if('RHS INPUT'!D254=1,Concatenate("class ",'RHS INPUT'!C254),))</f>
        <v>class U_O_FullGhillie_ard</v>
      </c>
      <c r="D254" s="27" t="str">
        <f>if(ISBLANK(A254),,if('RHS INPUT'!D254=1,CONCATENATE("{quality = ",'RHS INPUT'!G254,"; price = ",Round('RHS INPUT'!M254),";};"),""))</f>
        <v>{quality = 3; price = 240;};</v>
      </c>
      <c r="E254" t="str">
        <f>IFERROR(__xludf.DUMMYFUNCTION("if(ISBLANK(A254),, if('RHS INPUT'!E254=1,CONCATENATE(CHAR(34),To_Text('RHS INPUT'!C254),CHAR(34),CHAR(44)),""""))"),"""U_O_FullGhillie_ard"",")</f>
        <v>"U_O_FullGhillie_ard",</v>
      </c>
      <c r="F254" s="28" t="str">
        <f>IF(isblank(A254) ,Concatenate("&gt; ",'RHS INPUT'!A254) , if('RHS INPUT'!F254=1,CONCATENATE(round('RHS INPUT'!N254),Char(44)," ",'RHS INPUT'!C254),""))</f>
        <v>29, U_O_FullGhillie_ard</v>
      </c>
    </row>
    <row r="255" ht="12.0" customHeight="1">
      <c r="A255" s="1" t="str">
        <f>IFERROR(__xludf.DUMMYFUNCTION("if(ISBLANK('RHS INPUT'!C255),,CONCATENATE(CHAR(34),To_Text('RHS INPUT'!C255),CHAR(34),CHAR(44)))"),"""U_O_FullGhillie_lsh"",")</f>
        <v>"U_O_FullGhillie_lsh",</v>
      </c>
      <c r="B255" s="18" t="str">
        <f>if(isblank('RHS INPUT'!A255),,CONCATENATE("/*  ",'RHS INPUT'!A255,"  */"))</f>
        <v/>
      </c>
      <c r="C255" s="22" t="str">
        <f>if(isblank(A255),,if('RHS INPUT'!D255=1,Concatenate("class ",'RHS INPUT'!C255),))</f>
        <v>class U_O_FullGhillie_lsh</v>
      </c>
      <c r="D255" s="27" t="str">
        <f>if(ISBLANK(A255),,if('RHS INPUT'!D255=1,CONCATENATE("{quality = ",'RHS INPUT'!G255,"; price = ",Round('RHS INPUT'!M255),";};"),""))</f>
        <v>{quality = 3; price = 240;};</v>
      </c>
      <c r="E255" t="str">
        <f>IFERROR(__xludf.DUMMYFUNCTION("if(ISBLANK(A255),, if('RHS INPUT'!E255=1,CONCATENATE(CHAR(34),To_Text('RHS INPUT'!C255),CHAR(34),CHAR(44)),""""))"),"""U_O_FullGhillie_lsh"",")</f>
        <v>"U_O_FullGhillie_lsh",</v>
      </c>
      <c r="F255" s="28" t="str">
        <f>IF(isblank(A255) ,Concatenate("&gt; ",'RHS INPUT'!A255) , if('RHS INPUT'!F255=1,CONCATENATE(round('RHS INPUT'!N255),Char(44)," ",'RHS INPUT'!C255),""))</f>
        <v>29, U_O_FullGhillie_lsh</v>
      </c>
    </row>
    <row r="256" ht="12.0" customHeight="1">
      <c r="A256" s="1" t="str">
        <f>IFERROR(__xludf.DUMMYFUNCTION("if(ISBLANK('RHS INPUT'!C256),,CONCATENATE(CHAR(34),To_Text('RHS INPUT'!C256),CHAR(34),CHAR(44)))"),"""U_O_FullGhillie_sard"",")</f>
        <v>"U_O_FullGhillie_sard",</v>
      </c>
      <c r="B256" s="18" t="str">
        <f>if(isblank('RHS INPUT'!A256),,CONCATENATE("/*  ",'RHS INPUT'!A256,"  */"))</f>
        <v/>
      </c>
      <c r="C256" s="22" t="str">
        <f>if(isblank(A256),,if('RHS INPUT'!D256=1,Concatenate("class ",'RHS INPUT'!C256),))</f>
        <v>class U_O_FullGhillie_sard</v>
      </c>
      <c r="D256" s="27" t="str">
        <f>if(ISBLANK(A256),,if('RHS INPUT'!D256=1,CONCATENATE("{quality = ",'RHS INPUT'!G256,"; price = ",Round('RHS INPUT'!M256),";};"),""))</f>
        <v>{quality = 3; price = 240;};</v>
      </c>
      <c r="E256" t="str">
        <f>IFERROR(__xludf.DUMMYFUNCTION("if(ISBLANK(A256),, if('RHS INPUT'!E256=1,CONCATENATE(CHAR(34),To_Text('RHS INPUT'!C256),CHAR(34),CHAR(44)),""""))"),"""U_O_FullGhillie_sard"",")</f>
        <v>"U_O_FullGhillie_sard",</v>
      </c>
      <c r="F256" s="28" t="str">
        <f>IF(isblank(A256) ,Concatenate("&gt; ",'RHS INPUT'!A256) , if('RHS INPUT'!F256=1,CONCATENATE(round('RHS INPUT'!N256),Char(44)," ",'RHS INPUT'!C256),""))</f>
        <v>29, U_O_FullGhillie_sard</v>
      </c>
    </row>
    <row r="257" ht="12.0" customHeight="1">
      <c r="A257" s="1" t="str">
        <f>IFERROR(__xludf.DUMMYFUNCTION("if(ISBLANK('RHS INPUT'!C257),,CONCATENATE(CHAR(34),To_Text('RHS INPUT'!C257),CHAR(34),CHAR(44)))"),"""U_O_GhillieSuit"",")</f>
        <v>"U_O_GhillieSuit",</v>
      </c>
      <c r="B257" s="18" t="str">
        <f>if(isblank('RHS INPUT'!A257),,CONCATENATE("/*  ",'RHS INPUT'!A257,"  */"))</f>
        <v/>
      </c>
      <c r="C257" s="22" t="str">
        <f>if(isblank(A257),,if('RHS INPUT'!D257=1,Concatenate("class ",'RHS INPUT'!C257),))</f>
        <v>class U_O_GhillieSuit</v>
      </c>
      <c r="D257" s="27" t="str">
        <f>if(ISBLANK(A257),,if('RHS INPUT'!D257=1,CONCATENATE("{quality = ",'RHS INPUT'!G257,"; price = ",Round('RHS INPUT'!M257),";};"),""))</f>
        <v>{quality = 3; price = 180;};</v>
      </c>
      <c r="E257" t="str">
        <f>IFERROR(__xludf.DUMMYFUNCTION("if(ISBLANK(A257),, if('RHS INPUT'!E257=1,CONCATENATE(CHAR(34),To_Text('RHS INPUT'!C257),CHAR(34),CHAR(44)),""""))"),"""U_O_GhillieSuit"",")</f>
        <v>"U_O_GhillieSuit",</v>
      </c>
      <c r="F257" s="28" t="str">
        <f>IF(isblank(A257) ,Concatenate("&gt; ",'RHS INPUT'!A257) , if('RHS INPUT'!F257=1,CONCATENATE(round('RHS INPUT'!N257),Char(44)," ",'RHS INPUT'!C257),""))</f>
        <v>36, U_O_GhillieSuit</v>
      </c>
    </row>
    <row r="258" ht="12.0" customHeight="1">
      <c r="A258" s="1" t="str">
        <f>IFERROR(__xludf.DUMMYFUNCTION("if(ISBLANK('RHS INPUT'!C258),,CONCATENATE(CHAR(34),To_Text('RHS INPUT'!C258),CHAR(34),CHAR(44)))"),"")</f>
        <v/>
      </c>
      <c r="B258" s="18" t="str">
        <f>if(isblank('RHS INPUT'!A258),,CONCATENATE("/*  ",'RHS INPUT'!A258,"  */"))</f>
        <v>/*  WETSUITS  */</v>
      </c>
      <c r="C258" s="22" t="str">
        <f>if(isblank(A258),,if('RHS INPUT'!D258=1,Concatenate("class ",'RHS INPUT'!C258),))</f>
        <v/>
      </c>
      <c r="D258" s="27" t="str">
        <f>if(ISBLANK(A258),,if('RHS INPUT'!D258=1,CONCATENATE("{quality = ",'RHS INPUT'!G258,"; price = ",Round('RHS INPUT'!M258),";};"),""))</f>
        <v/>
      </c>
      <c r="E258" t="str">
        <f>IFERROR(__xludf.DUMMYFUNCTION("if(ISBLANK(A258),, if('RHS INPUT'!E258=1,CONCATENATE(CHAR(34),To_Text('RHS INPUT'!C258),CHAR(34),CHAR(44)),""""))"),"")</f>
        <v/>
      </c>
      <c r="F258" s="28" t="str">
        <f>IF(isblank(A258) ,Concatenate("&gt; ",'RHS INPUT'!A258) , if('RHS INPUT'!F258=1,CONCATENATE(round('RHS INPUT'!N258),Char(44)," ",'RHS INPUT'!C258),""))</f>
        <v>&gt; WETSUITS</v>
      </c>
    </row>
    <row r="259" ht="12.0" customHeight="1">
      <c r="A259" s="1" t="str">
        <f>IFERROR(__xludf.DUMMYFUNCTION("if(ISBLANK('RHS INPUT'!C259),,CONCATENATE(CHAR(34),To_Text('RHS INPUT'!C259),CHAR(34),CHAR(44)))"),"""U_I_Wetsuit"",")</f>
        <v>"U_I_Wetsuit",</v>
      </c>
      <c r="B259" s="18" t="str">
        <f>if(isblank('RHS INPUT'!A259),,CONCATENATE("/*  ",'RHS INPUT'!A259,"  */"))</f>
        <v/>
      </c>
      <c r="C259" s="22" t="str">
        <f>if(isblank(A259),,if('RHS INPUT'!D259=1,Concatenate("class ",'RHS INPUT'!C259),))</f>
        <v>class U_I_Wetsuit</v>
      </c>
      <c r="D259" s="27" t="str">
        <f>if(ISBLANK(A259),,if('RHS INPUT'!D259=1,CONCATENATE("{quality = ",'RHS INPUT'!G259,"; price = ",Round('RHS INPUT'!M259),";};"),""))</f>
        <v>{quality = 4; price = 320;};</v>
      </c>
      <c r="E259" t="str">
        <f>IFERROR(__xludf.DUMMYFUNCTION("if(ISBLANK(A259),, if('RHS INPUT'!E259=1,CONCATENATE(CHAR(34),To_Text('RHS INPUT'!C259),CHAR(34),CHAR(44)),""""))"),"""U_I_Wetsuit"",")</f>
        <v>"U_I_Wetsuit",</v>
      </c>
      <c r="F259" s="28" t="str">
        <f>IF(isblank(A259) ,Concatenate("&gt; ",'RHS INPUT'!A259) , if('RHS INPUT'!F259=1,CONCATENATE(round('RHS INPUT'!N259),Char(44)," ",'RHS INPUT'!C259),""))</f>
        <v>24, U_I_Wetsuit</v>
      </c>
    </row>
    <row r="260" ht="12.0" customHeight="1">
      <c r="A260" s="1" t="str">
        <f>IFERROR(__xludf.DUMMYFUNCTION("if(ISBLANK('RHS INPUT'!C260),,CONCATENATE(CHAR(34),To_Text('RHS INPUT'!C260),CHAR(34),CHAR(44)))"),"""U_O_Wetsuit"",")</f>
        <v>"U_O_Wetsuit",</v>
      </c>
      <c r="B260" s="18" t="str">
        <f>if(isblank('RHS INPUT'!A260),,CONCATENATE("/*  ",'RHS INPUT'!A260,"  */"))</f>
        <v/>
      </c>
      <c r="C260" s="22" t="str">
        <f>if(isblank(A260),,if('RHS INPUT'!D260=1,Concatenate("class ",'RHS INPUT'!C260),))</f>
        <v>class U_O_Wetsuit</v>
      </c>
      <c r="D260" s="27" t="str">
        <f>if(ISBLANK(A260),,if('RHS INPUT'!D260=1,CONCATENATE("{quality = ",'RHS INPUT'!G260,"; price = ",Round('RHS INPUT'!M260),";};"),""))</f>
        <v>{quality = 4; price = 320;};</v>
      </c>
      <c r="E260" t="str">
        <f>IFERROR(__xludf.DUMMYFUNCTION("if(ISBLANK(A260),, if('RHS INPUT'!E260=1,CONCATENATE(CHAR(34),To_Text('RHS INPUT'!C260),CHAR(34),CHAR(44)),""""))"),"""U_O_Wetsuit"",")</f>
        <v>"U_O_Wetsuit",</v>
      </c>
      <c r="F260" s="28" t="str">
        <f>IF(isblank(A260) ,Concatenate("&gt; ",'RHS INPUT'!A260) , if('RHS INPUT'!F260=1,CONCATENATE(round('RHS INPUT'!N260),Char(44)," ",'RHS INPUT'!C260),""))</f>
        <v>24, U_O_Wetsuit</v>
      </c>
    </row>
    <row r="261" ht="12.0" customHeight="1">
      <c r="A261" s="1" t="str">
        <f>IFERROR(__xludf.DUMMYFUNCTION("if(ISBLANK('RHS INPUT'!C261),,CONCATENATE(CHAR(34),To_Text('RHS INPUT'!C261),CHAR(34),CHAR(44)))"),"""U_B_Wetsuit"",")</f>
        <v>"U_B_Wetsuit",</v>
      </c>
      <c r="B261" s="18" t="str">
        <f>if(isblank('RHS INPUT'!A261),,CONCATENATE("/*  ",'RHS INPUT'!A261,"  */"))</f>
        <v/>
      </c>
      <c r="C261" s="22" t="str">
        <f>if(isblank(A261),,if('RHS INPUT'!D261=1,Concatenate("class ",'RHS INPUT'!C261),))</f>
        <v>class U_B_Wetsuit</v>
      </c>
      <c r="D261" s="27" t="str">
        <f>if(ISBLANK(A261),,if('RHS INPUT'!D261=1,CONCATENATE("{quality = ",'RHS INPUT'!G261,"; price = ",Round('RHS INPUT'!M261),";};"),""))</f>
        <v>{quality = 4; price = 320;};</v>
      </c>
      <c r="E261" t="str">
        <f>IFERROR(__xludf.DUMMYFUNCTION("if(ISBLANK(A261),, if('RHS INPUT'!E261=1,CONCATENATE(CHAR(34),To_Text('RHS INPUT'!C261),CHAR(34),CHAR(44)),""""))"),"""U_B_Wetsuit"",")</f>
        <v>"U_B_Wetsuit",</v>
      </c>
      <c r="F261" s="28" t="str">
        <f>IF(isblank(A261) ,Concatenate("&gt; ",'RHS INPUT'!A261) , if('RHS INPUT'!F261=1,CONCATENATE(round('RHS INPUT'!N261),Char(44)," ",'RHS INPUT'!C261),""))</f>
        <v>24, U_B_Wetsuit</v>
      </c>
    </row>
    <row r="262" ht="12.0" customHeight="1">
      <c r="A262" s="1" t="str">
        <f>IFERROR(__xludf.DUMMYFUNCTION("if(ISBLANK('RHS INPUT'!C262),,CONCATENATE(CHAR(34),To_Text('RHS INPUT'!C262),CHAR(34),CHAR(44)))"),"")</f>
        <v/>
      </c>
      <c r="B262" s="18" t="str">
        <f>if(isblank('RHS INPUT'!A262),,CONCATENATE("/*  ",'RHS INPUT'!A262,"  */"))</f>
        <v>/*  PILOT_CLOTHING  */</v>
      </c>
      <c r="C262" s="22" t="str">
        <f>if(isblank(A262),,if('RHS INPUT'!D262=1,Concatenate("class ",'RHS INPUT'!C262),))</f>
        <v/>
      </c>
      <c r="D262" s="27" t="str">
        <f>if(ISBLANK(A262),,if('RHS INPUT'!D262=1,CONCATENATE("{quality = ",'RHS INPUT'!G262,"; price = ",Round('RHS INPUT'!M262),";};"),""))</f>
        <v/>
      </c>
      <c r="E262" t="str">
        <f>IFERROR(__xludf.DUMMYFUNCTION("if(ISBLANK(A262),, if('RHS INPUT'!E262=1,CONCATENATE(CHAR(34),To_Text('RHS INPUT'!C262),CHAR(34),CHAR(44)),""""))"),"")</f>
        <v/>
      </c>
      <c r="F262" s="28" t="str">
        <f>IF(isblank(A262) ,Concatenate("&gt; ",'RHS INPUT'!A262) , if('RHS INPUT'!F262=1,CONCATENATE(round('RHS INPUT'!N262),Char(44)," ",'RHS INPUT'!C262),""))</f>
        <v>&gt; PILOT_CLOTHING</v>
      </c>
    </row>
    <row r="263" ht="12.0" customHeight="1">
      <c r="A263" s="1" t="str">
        <f>IFERROR(__xludf.DUMMYFUNCTION("if(ISBLANK('RHS INPUT'!C263),,CONCATENATE(CHAR(34),To_Text('RHS INPUT'!C263),CHAR(34),CHAR(44)))"),"""U_B_HeliPilotCoveralls"",")</f>
        <v>"U_B_HeliPilotCoveralls",</v>
      </c>
      <c r="B263" s="18" t="str">
        <f>if(isblank('RHS INPUT'!A263),,CONCATENATE("/*  ",'RHS INPUT'!A263,"  */"))</f>
        <v/>
      </c>
      <c r="C263" s="22" t="str">
        <f>if(isblank(A263),,if('RHS INPUT'!D263=1,Concatenate("class ",'RHS INPUT'!C263),))</f>
        <v>class U_B_HeliPilotCoveralls</v>
      </c>
      <c r="D263" s="27" t="str">
        <f>if(ISBLANK(A263),,if('RHS INPUT'!D263=1,CONCATENATE("{quality = ",'RHS INPUT'!G263,"; price = ",Round('RHS INPUT'!M263),";};"),""))</f>
        <v>{quality = 2; price = 80;};</v>
      </c>
      <c r="E263" t="str">
        <f>IFERROR(__xludf.DUMMYFUNCTION("if(ISBLANK(A263),, if('RHS INPUT'!E263=1,CONCATENATE(CHAR(34),To_Text('RHS INPUT'!C263),CHAR(34),CHAR(44)),""""))"),"""U_B_HeliPilotCoveralls"",")</f>
        <v>"U_B_HeliPilotCoveralls",</v>
      </c>
      <c r="F263" s="28" t="str">
        <f>IF(isblank(A263) ,Concatenate("&gt; ",'RHS INPUT'!A263) , if('RHS INPUT'!F263=1,CONCATENATE(round('RHS INPUT'!N263),Char(44)," ",'RHS INPUT'!C263),""))</f>
        <v>56, U_B_HeliPilotCoveralls</v>
      </c>
    </row>
    <row r="264" ht="12.0" customHeight="1">
      <c r="A264" s="1" t="str">
        <f>IFERROR(__xludf.DUMMYFUNCTION("if(ISBLANK('RHS INPUT'!C264),,CONCATENATE(CHAR(34),To_Text('RHS INPUT'!C264),CHAR(34),CHAR(44)))"),"""U_B_PilotCoveralls"",")</f>
        <v>"U_B_PilotCoveralls",</v>
      </c>
      <c r="B264" s="18" t="str">
        <f>if(isblank('RHS INPUT'!A264),,CONCATENATE("/*  ",'RHS INPUT'!A264,"  */"))</f>
        <v/>
      </c>
      <c r="C264" s="22" t="str">
        <f>if(isblank(A264),,if('RHS INPUT'!D264=1,Concatenate("class ",'RHS INPUT'!C264),))</f>
        <v>class U_B_PilotCoveralls</v>
      </c>
      <c r="D264" s="27" t="str">
        <f>if(ISBLANK(A264),,if('RHS INPUT'!D264=1,CONCATENATE("{quality = ",'RHS INPUT'!G264,"; price = ",Round('RHS INPUT'!M264),";};"),""))</f>
        <v>{quality = 2; price = 120;};</v>
      </c>
      <c r="E264" t="str">
        <f>IFERROR(__xludf.DUMMYFUNCTION("if(ISBLANK(A264),, if('RHS INPUT'!E264=1,CONCATENATE(CHAR(34),To_Text('RHS INPUT'!C264),CHAR(34),CHAR(44)),""""))"),"""U_B_PilotCoveralls"",")</f>
        <v>"U_B_PilotCoveralls",</v>
      </c>
      <c r="F264" s="28" t="str">
        <f>IF(isblank(A264) ,Concatenate("&gt; ",'RHS INPUT'!A264) , if('RHS INPUT'!F264=1,CONCATENATE(round('RHS INPUT'!N264),Char(44)," ",'RHS INPUT'!C264),""))</f>
        <v>45, U_B_PilotCoveralls</v>
      </c>
    </row>
    <row r="265" ht="12.0" customHeight="1">
      <c r="A265" s="1" t="str">
        <f>IFERROR(__xludf.DUMMYFUNCTION("if(ISBLANK('RHS INPUT'!C265),,CONCATENATE(CHAR(34),To_Text('RHS INPUT'!C265),CHAR(34),CHAR(44)))"),"""U_I_HeliPilotCoveralls"",")</f>
        <v>"U_I_HeliPilotCoveralls",</v>
      </c>
      <c r="B265" s="18" t="str">
        <f>if(isblank('RHS INPUT'!A265),,CONCATENATE("/*  ",'RHS INPUT'!A265,"  */"))</f>
        <v/>
      </c>
      <c r="C265" s="22" t="str">
        <f>if(isblank(A265),,if('RHS INPUT'!D265=1,Concatenate("class ",'RHS INPUT'!C265),))</f>
        <v>class U_I_HeliPilotCoveralls</v>
      </c>
      <c r="D265" s="27" t="str">
        <f>if(ISBLANK(A265),,if('RHS INPUT'!D265=1,CONCATENATE("{quality = ",'RHS INPUT'!G265,"; price = ",Round('RHS INPUT'!M265),";};"),""))</f>
        <v>{quality = 2; price = 80;};</v>
      </c>
      <c r="E265" t="str">
        <f>IFERROR(__xludf.DUMMYFUNCTION("if(ISBLANK(A265),, if('RHS INPUT'!E265=1,CONCATENATE(CHAR(34),To_Text('RHS INPUT'!C265),CHAR(34),CHAR(44)),""""))"),"""U_I_HeliPilotCoveralls"",")</f>
        <v>"U_I_HeliPilotCoveralls",</v>
      </c>
      <c r="F265" s="28" t="str">
        <f>IF(isblank(A265) ,Concatenate("&gt; ",'RHS INPUT'!A265) , if('RHS INPUT'!F265=1,CONCATENATE(round('RHS INPUT'!N265),Char(44)," ",'RHS INPUT'!C265),""))</f>
        <v>56, U_I_HeliPilotCoveralls</v>
      </c>
    </row>
    <row r="266" ht="12.0" customHeight="1">
      <c r="A266" s="1" t="str">
        <f>IFERROR(__xludf.DUMMYFUNCTION("if(ISBLANK('RHS INPUT'!C266),,CONCATENATE(CHAR(34),To_Text('RHS INPUT'!C266),CHAR(34),CHAR(44)))"),"""U_I_pilotCoveralls"",")</f>
        <v>"U_I_pilotCoveralls",</v>
      </c>
      <c r="B266" s="18" t="str">
        <f>if(isblank('RHS INPUT'!A266),,CONCATENATE("/*  ",'RHS INPUT'!A266,"  */"))</f>
        <v/>
      </c>
      <c r="C266" s="22" t="str">
        <f>if(isblank(A266),,if('RHS INPUT'!D266=1,Concatenate("class ",'RHS INPUT'!C266),))</f>
        <v>class U_I_pilotCoveralls</v>
      </c>
      <c r="D266" s="27" t="str">
        <f>if(ISBLANK(A266),,if('RHS INPUT'!D266=1,CONCATENATE("{quality = ",'RHS INPUT'!G266,"; price = ",Round('RHS INPUT'!M266),";};"),""))</f>
        <v>{quality = 2; price = 120;};</v>
      </c>
      <c r="E266" t="str">
        <f>IFERROR(__xludf.DUMMYFUNCTION("if(ISBLANK(A266),, if('RHS INPUT'!E266=1,CONCATENATE(CHAR(34),To_Text('RHS INPUT'!C266),CHAR(34),CHAR(44)),""""))"),"""U_I_pilotCoveralls"",")</f>
        <v>"U_I_pilotCoveralls",</v>
      </c>
      <c r="F266" s="28" t="str">
        <f>IF(isblank(A266) ,Concatenate("&gt; ",'RHS INPUT'!A266) , if('RHS INPUT'!F266=1,CONCATENATE(round('RHS INPUT'!N266),Char(44)," ",'RHS INPUT'!C266),""))</f>
        <v>45, U_I_pilotCoveralls</v>
      </c>
    </row>
    <row r="267" ht="12.0" customHeight="1">
      <c r="A267" s="1" t="str">
        <f>IFERROR(__xludf.DUMMYFUNCTION("if(ISBLANK('RHS INPUT'!C267),,CONCATENATE(CHAR(34),To_Text('RHS INPUT'!C267),CHAR(34),CHAR(44)))"),"""U_O_PilotCoveralls"",")</f>
        <v>"U_O_PilotCoveralls",</v>
      </c>
      <c r="B267" s="18" t="str">
        <f>if(isblank('RHS INPUT'!A267),,CONCATENATE("/*  ",'RHS INPUT'!A267,"  */"))</f>
        <v/>
      </c>
      <c r="C267" s="22" t="str">
        <f>if(isblank(A267),,if('RHS INPUT'!D267=1,Concatenate("class ",'RHS INPUT'!C267),))</f>
        <v>class U_O_PilotCoveralls</v>
      </c>
      <c r="D267" s="27" t="str">
        <f>if(ISBLANK(A267),,if('RHS INPUT'!D267=1,CONCATENATE("{quality = ",'RHS INPUT'!G267,"; price = ",Round('RHS INPUT'!M267),";};"),""))</f>
        <v>{quality = 2; price = 120;};</v>
      </c>
      <c r="E267" t="str">
        <f>IFERROR(__xludf.DUMMYFUNCTION("if(ISBLANK(A267),, if('RHS INPUT'!E267=1,CONCATENATE(CHAR(34),To_Text('RHS INPUT'!C267),CHAR(34),CHAR(44)),""""))"),"""U_O_PilotCoveralls"",")</f>
        <v>"U_O_PilotCoveralls",</v>
      </c>
      <c r="F267" s="28" t="str">
        <f>IF(isblank(A267) ,Concatenate("&gt; ",'RHS INPUT'!A267) , if('RHS INPUT'!F267=1,CONCATENATE(round('RHS INPUT'!N267),Char(44)," ",'RHS INPUT'!C267),""))</f>
        <v>45, U_O_PilotCoveralls</v>
      </c>
    </row>
    <row r="268" ht="12.0" customHeight="1">
      <c r="A268" s="1" t="str">
        <f>IFERROR(__xludf.DUMMYFUNCTION("if(ISBLANK('RHS INPUT'!C268),,CONCATENATE(CHAR(34),To_Text('RHS INPUT'!C268),CHAR(34),CHAR(44)))"),"")</f>
        <v/>
      </c>
      <c r="B268" s="18" t="str">
        <f>if(isblank('RHS INPUT'!A268),,CONCATENATE("/*  ",'RHS INPUT'!A268,"  */"))</f>
        <v>/*  HANDGUNS  */</v>
      </c>
      <c r="C268" s="22" t="str">
        <f>if(isblank(A268),,if('RHS INPUT'!D268=1,Concatenate("class ",'RHS INPUT'!C268),))</f>
        <v/>
      </c>
      <c r="D268" s="27" t="str">
        <f>if(ISBLANK(A268),,if('RHS INPUT'!D268=1,CONCATENATE("{quality = ",'RHS INPUT'!G268,"; price = ",Round('RHS INPUT'!M268),";};"),""))</f>
        <v/>
      </c>
      <c r="E268" t="str">
        <f>IFERROR(__xludf.DUMMYFUNCTION("if(ISBLANK(A268),, if('RHS INPUT'!E268=1,CONCATENATE(CHAR(34),To_Text('RHS INPUT'!C268),CHAR(34),CHAR(44)),""""))"),"")</f>
        <v/>
      </c>
      <c r="F268" s="28" t="str">
        <f>IF(isblank(A268) ,Concatenate("&gt; ",'RHS INPUT'!A268) , if('RHS INPUT'!F268=1,CONCATENATE(round('RHS INPUT'!N268),Char(44)," ",'RHS INPUT'!C268),""))</f>
        <v>&gt; HANDGUNS</v>
      </c>
    </row>
    <row r="269" ht="12.0" customHeight="1">
      <c r="A269" s="1" t="str">
        <f>IFERROR(__xludf.DUMMYFUNCTION("if(ISBLANK('RHS INPUT'!C269),,CONCATENATE(CHAR(34),To_Text('RHS INPUT'!C269),CHAR(34),CHAR(44)))"),"""hgun_ACPC2_F"",")</f>
        <v>"hgun_ACPC2_F",</v>
      </c>
      <c r="B269" s="18" t="str">
        <f>if(isblank('RHS INPUT'!A269),,CONCATENATE("/*  ",'RHS INPUT'!A269,"  */"))</f>
        <v/>
      </c>
      <c r="C269" s="22" t="str">
        <f>if(isblank(A269),,if('RHS INPUT'!D269=1,Concatenate("class ",'RHS INPUT'!C269),))</f>
        <v>class hgun_ACPC2_F</v>
      </c>
      <c r="D269" s="27" t="str">
        <f>if(ISBLANK(A269),,if('RHS INPUT'!D269=1,CONCATENATE("{quality = ",'RHS INPUT'!G269,"; price = ",Round('RHS INPUT'!M269),";};"),""))</f>
        <v>{quality = 2; price = 160;};</v>
      </c>
      <c r="E269" t="str">
        <f>IFERROR(__xludf.DUMMYFUNCTION("if(ISBLANK(A269),, if('RHS INPUT'!E269=1,CONCATENATE(CHAR(34),To_Text('RHS INPUT'!C269),CHAR(34),CHAR(44)),""""))"),"""hgun_ACPC2_F"",")</f>
        <v>"hgun_ACPC2_F",</v>
      </c>
      <c r="F269" s="28" t="str">
        <f>IF(isblank(A269) ,Concatenate("&gt; ",'RHS INPUT'!A269) , if('RHS INPUT'!F269=1,CONCATENATE(round('RHS INPUT'!N269),Char(44)," ",'RHS INPUT'!C269),""))</f>
        <v>38, hgun_ACPC2_F</v>
      </c>
    </row>
    <row r="270" ht="12.0" customHeight="1">
      <c r="A270" s="1" t="str">
        <f>IFERROR(__xludf.DUMMYFUNCTION("if(ISBLANK('RHS INPUT'!C270),,CONCATENATE(CHAR(34),To_Text('RHS INPUT'!C270),CHAR(34),CHAR(44)))"),"""hgun_P07_F"",")</f>
        <v>"hgun_P07_F",</v>
      </c>
      <c r="B270" s="18" t="str">
        <f>if(isblank('RHS INPUT'!A270),,CONCATENATE("/*  ",'RHS INPUT'!A270,"  */"))</f>
        <v/>
      </c>
      <c r="C270" s="22" t="str">
        <f>if(isblank(A270),,if('RHS INPUT'!D270=1,Concatenate("class ",'RHS INPUT'!C270),))</f>
        <v>class hgun_P07_F</v>
      </c>
      <c r="D270" s="27" t="str">
        <f>if(ISBLANK(A270),,if('RHS INPUT'!D270=1,CONCATENATE("{quality = ",'RHS INPUT'!G270,"; price = ",Round('RHS INPUT'!M270),";};"),""))</f>
        <v>{quality = 1; price = 80;};</v>
      </c>
      <c r="E270" t="str">
        <f>IFERROR(__xludf.DUMMYFUNCTION("if(ISBLANK(A270),, if('RHS INPUT'!E270=1,CONCATENATE(CHAR(34),To_Text('RHS INPUT'!C270),CHAR(34),CHAR(44)),""""))"),"""hgun_P07_F"",")</f>
        <v>"hgun_P07_F",</v>
      </c>
      <c r="F270" s="28" t="str">
        <f>IF(isblank(A270) ,Concatenate("&gt; ",'RHS INPUT'!A270) , if('RHS INPUT'!F270=1,CONCATENATE(round('RHS INPUT'!N270),Char(44)," ",'RHS INPUT'!C270),""))</f>
        <v>56, hgun_P07_F</v>
      </c>
    </row>
    <row r="271" ht="12.0" customHeight="1">
      <c r="A271" s="1" t="str">
        <f>IFERROR(__xludf.DUMMYFUNCTION("if(ISBLANK('RHS INPUT'!C271),,CONCATENATE(CHAR(34),To_Text('RHS INPUT'!C271),CHAR(34),CHAR(44)))"),"""hgun_Pistol_heavy_01_F"",")</f>
        <v>"hgun_Pistol_heavy_01_F",</v>
      </c>
      <c r="B271" s="18" t="str">
        <f>if(isblank('RHS INPUT'!A271),,CONCATENATE("/*  ",'RHS INPUT'!A271,"  */"))</f>
        <v/>
      </c>
      <c r="C271" s="22" t="str">
        <f>if(isblank(A271),,if('RHS INPUT'!D271=1,Concatenate("class ",'RHS INPUT'!C271),))</f>
        <v>class hgun_Pistol_heavy_01_F</v>
      </c>
      <c r="D271" s="27" t="str">
        <f>if(ISBLANK(A271),,if('RHS INPUT'!D271=1,CONCATENATE("{quality = ",'RHS INPUT'!G271,"; price = ",Round('RHS INPUT'!M271),";};"),""))</f>
        <v>{quality = 2; price = 160;};</v>
      </c>
      <c r="E271" t="str">
        <f>IFERROR(__xludf.DUMMYFUNCTION("if(ISBLANK(A271),, if('RHS INPUT'!E271=1,CONCATENATE(CHAR(34),To_Text('RHS INPUT'!C271),CHAR(34),CHAR(44)),""""))"),"""hgun_Pistol_heavy_01_F"",")</f>
        <v>"hgun_Pistol_heavy_01_F",</v>
      </c>
      <c r="F271" s="28" t="str">
        <f>IF(isblank(A271) ,Concatenate("&gt; ",'RHS INPUT'!A271) , if('RHS INPUT'!F271=1,CONCATENATE(round('RHS INPUT'!N271),Char(44)," ",'RHS INPUT'!C271),""))</f>
        <v>38, hgun_Pistol_heavy_01_F</v>
      </c>
    </row>
    <row r="272" ht="12.0" customHeight="1">
      <c r="A272" s="1" t="str">
        <f>IFERROR(__xludf.DUMMYFUNCTION("if(ISBLANK('RHS INPUT'!C272),,CONCATENATE(CHAR(34),To_Text('RHS INPUT'!C272),CHAR(34),CHAR(44)))"),"""hgun_Pistol_heavy_02_F"",")</f>
        <v>"hgun_Pistol_heavy_02_F",</v>
      </c>
      <c r="B272" s="18" t="str">
        <f>if(isblank('RHS INPUT'!A272),,CONCATENATE("/*  ",'RHS INPUT'!A272,"  */"))</f>
        <v/>
      </c>
      <c r="C272" s="22" t="str">
        <f>if(isblank(A272),,if('RHS INPUT'!D272=1,Concatenate("class ",'RHS INPUT'!C272),))</f>
        <v>class hgun_Pistol_heavy_02_F</v>
      </c>
      <c r="D272" s="27" t="str">
        <f>if(ISBLANK(A272),,if('RHS INPUT'!D272=1,CONCATENATE("{quality = ",'RHS INPUT'!G272,"; price = ",Round('RHS INPUT'!M272),";};"),""))</f>
        <v>{quality = 2; price = 160;};</v>
      </c>
      <c r="E272" t="str">
        <f>IFERROR(__xludf.DUMMYFUNCTION("if(ISBLANK(A272),, if('RHS INPUT'!E272=1,CONCATENATE(CHAR(34),To_Text('RHS INPUT'!C272),CHAR(34),CHAR(44)),""""))"),"""hgun_Pistol_heavy_02_F"",")</f>
        <v>"hgun_Pistol_heavy_02_F",</v>
      </c>
      <c r="F272" s="28" t="str">
        <f>IF(isblank(A272) ,Concatenate("&gt; ",'RHS INPUT'!A272) , if('RHS INPUT'!F272=1,CONCATENATE(round('RHS INPUT'!N272),Char(44)," ",'RHS INPUT'!C272),""))</f>
        <v>38, hgun_Pistol_heavy_02_F</v>
      </c>
    </row>
    <row r="273" ht="12.0" customHeight="1">
      <c r="A273" s="1" t="str">
        <f>IFERROR(__xludf.DUMMYFUNCTION("if(ISBLANK('RHS INPUT'!C273),,CONCATENATE(CHAR(34),To_Text('RHS INPUT'!C273),CHAR(34),CHAR(44)))"),"""hgun_Pistol_Signal_F"",")</f>
        <v>"hgun_Pistol_Signal_F",</v>
      </c>
      <c r="B273" s="18" t="str">
        <f>if(isblank('RHS INPUT'!A273),,CONCATENATE("/*  ",'RHS INPUT'!A273,"  */"))</f>
        <v/>
      </c>
      <c r="C273" s="22" t="str">
        <f>if(isblank(A273),,if('RHS INPUT'!D273=1,Concatenate("class ",'RHS INPUT'!C273),))</f>
        <v>class hgun_Pistol_Signal_F</v>
      </c>
      <c r="D273" s="27" t="str">
        <f>if(ISBLANK(A273),,if('RHS INPUT'!D273=1,CONCATENATE("{quality = ",'RHS INPUT'!G273,"; price = ",Round('RHS INPUT'!M273),";};"),""))</f>
        <v>{quality = 3; price = 240;};</v>
      </c>
      <c r="E273" t="str">
        <f>IFERROR(__xludf.DUMMYFUNCTION("if(ISBLANK(A273),, if('RHS INPUT'!E273=1,CONCATENATE(CHAR(34),To_Text('RHS INPUT'!C273),CHAR(34),CHAR(44)),""""))"),"""hgun_Pistol_Signal_F"",")</f>
        <v>"hgun_Pistol_Signal_F",</v>
      </c>
      <c r="F273" s="28" t="str">
        <f>IF(isblank(A273) ,Concatenate("&gt; ",'RHS INPUT'!A273) , if('RHS INPUT'!F273=1,CONCATENATE(round('RHS INPUT'!N273),Char(44)," ",'RHS INPUT'!C273),""))</f>
        <v>29, hgun_Pistol_Signal_F</v>
      </c>
    </row>
    <row r="274" ht="12.0" customHeight="1">
      <c r="A274" s="1" t="str">
        <f>IFERROR(__xludf.DUMMYFUNCTION("if(ISBLANK('RHS INPUT'!C274),,CONCATENATE(CHAR(34),To_Text('RHS INPUT'!C274),CHAR(34),CHAR(44)))"),"""hgun_Rook40_F"",")</f>
        <v>"hgun_Rook40_F",</v>
      </c>
      <c r="B274" s="18" t="str">
        <f>if(isblank('RHS INPUT'!A274),,CONCATENATE("/*  ",'RHS INPUT'!A274,"  */"))</f>
        <v/>
      </c>
      <c r="C274" s="22" t="str">
        <f>if(isblank(A274),,if('RHS INPUT'!D274=1,Concatenate("class ",'RHS INPUT'!C274),))</f>
        <v>class hgun_Rook40_F</v>
      </c>
      <c r="D274" s="27" t="str">
        <f>if(ISBLANK(A274),,if('RHS INPUT'!D274=1,CONCATENATE("{quality = ",'RHS INPUT'!G274,"; price = ",Round('RHS INPUT'!M274),";};"),""))</f>
        <v>{quality = 1; price = 80;};</v>
      </c>
      <c r="E274" t="str">
        <f>IFERROR(__xludf.DUMMYFUNCTION("if(ISBLANK(A274),, if('RHS INPUT'!E274=1,CONCATENATE(CHAR(34),To_Text('RHS INPUT'!C274),CHAR(34),CHAR(44)),""""))"),"""hgun_Rook40_F"",")</f>
        <v>"hgun_Rook40_F",</v>
      </c>
      <c r="F274" s="28" t="str">
        <f>IF(isblank(A274) ,Concatenate("&gt; ",'RHS INPUT'!A274) , if('RHS INPUT'!F274=1,CONCATENATE(round('RHS INPUT'!N274),Char(44)," ",'RHS INPUT'!C274),""))</f>
        <v>56, hgun_Rook40_F</v>
      </c>
    </row>
    <row r="275" ht="12.0" customHeight="1">
      <c r="A275" s="1" t="str">
        <f>IFERROR(__xludf.DUMMYFUNCTION("if(ISBLANK('RHS INPUT'!C275),,CONCATENATE(CHAR(34),To_Text('RHS INPUT'!C275),CHAR(34),CHAR(44)))"),"""rhs_weap_pya"",")</f>
        <v>"rhs_weap_pya",</v>
      </c>
      <c r="B275" s="18" t="str">
        <f>if(isblank('RHS INPUT'!A275),,CONCATENATE("/*  ",'RHS INPUT'!A275,"  */"))</f>
        <v/>
      </c>
      <c r="C275" s="22" t="str">
        <f>if(isblank(A275),,if('RHS INPUT'!D275=1,Concatenate("class ",'RHS INPUT'!C275),))</f>
        <v>class rhs_weap_pya</v>
      </c>
      <c r="D275" s="27" t="str">
        <f>if(ISBLANK(A275),,if('RHS INPUT'!D275=1,CONCATENATE("{quality = ",'RHS INPUT'!G275,"; price = ",Round('RHS INPUT'!M275),";};"),""))</f>
        <v>{quality = 1; price = 80;};</v>
      </c>
      <c r="E275" t="str">
        <f>IFERROR(__xludf.DUMMYFUNCTION("if(ISBLANK(A275),, if('RHS INPUT'!E275=1,CONCATENATE(CHAR(34),To_Text('RHS INPUT'!C275),CHAR(34),CHAR(44)),""""))"),"""rhs_weap_pya"",")</f>
        <v>"rhs_weap_pya",</v>
      </c>
      <c r="F275" s="28" t="str">
        <f>IF(isblank(A275) ,Concatenate("&gt; ",'RHS INPUT'!A275) , if('RHS INPUT'!F275=1,CONCATENATE(round('RHS INPUT'!N275),Char(44)," ",'RHS INPUT'!C275),""))</f>
        <v>56, rhs_weap_pya</v>
      </c>
    </row>
    <row r="276" ht="12.0" customHeight="1">
      <c r="A276" s="1" t="str">
        <f>IFERROR(__xludf.DUMMYFUNCTION("if(ISBLANK('RHS INPUT'!C276),,CONCATENATE(CHAR(34),To_Text('RHS INPUT'!C276),CHAR(34),CHAR(44)))"),"""rhs_weap_makarov_pmm"",")</f>
        <v>"rhs_weap_makarov_pmm",</v>
      </c>
      <c r="B276" s="18" t="str">
        <f>if(isblank('RHS INPUT'!A276),,CONCATENATE("/*  ",'RHS INPUT'!A276,"  */"))</f>
        <v/>
      </c>
      <c r="C276" s="22" t="str">
        <f>if(isblank(A276),,if('RHS INPUT'!D276=1,Concatenate("class ",'RHS INPUT'!C276),))</f>
        <v>class rhs_weap_makarov_pmm</v>
      </c>
      <c r="D276" s="27" t="str">
        <f>if(ISBLANK(A276),,if('RHS INPUT'!D276=1,CONCATENATE("{quality = ",'RHS INPUT'!G276,"; price = ",Round('RHS INPUT'!M276),";};"),""))</f>
        <v>{quality = 1; price = 80;};</v>
      </c>
      <c r="E276" t="str">
        <f>IFERROR(__xludf.DUMMYFUNCTION("if(ISBLANK(A276),, if('RHS INPUT'!E276=1,CONCATENATE(CHAR(34),To_Text('RHS INPUT'!C276),CHAR(34),CHAR(44)),""""))"),"""rhs_weap_makarov_pmm"",")</f>
        <v>"rhs_weap_makarov_pmm",</v>
      </c>
      <c r="F276" s="28" t="str">
        <f>IF(isblank(A276) ,Concatenate("&gt; ",'RHS INPUT'!A276) , if('RHS INPUT'!F276=1,CONCATENATE(round('RHS INPUT'!N276),Char(44)," ",'RHS INPUT'!C276),""))</f>
        <v>56, rhs_weap_makarov_pmm</v>
      </c>
    </row>
    <row r="277" ht="12.0" customHeight="1">
      <c r="A277" s="1" t="str">
        <f>IFERROR(__xludf.DUMMYFUNCTION("if(ISBLANK('RHS INPUT'!C277),,CONCATENATE(CHAR(34),To_Text('RHS INPUT'!C277),CHAR(34),CHAR(44)))"),"""rhsusf_weap_m1911a1"",")</f>
        <v>"rhsusf_weap_m1911a1",</v>
      </c>
      <c r="B277" s="18" t="str">
        <f>if(isblank('RHS INPUT'!A277),,CONCATENATE("/*  ",'RHS INPUT'!A277,"  */"))</f>
        <v/>
      </c>
      <c r="C277" s="22" t="str">
        <f>if(isblank(A277),,if('RHS INPUT'!D277=1,Concatenate("class ",'RHS INPUT'!C277),))</f>
        <v>class rhsusf_weap_m1911a1</v>
      </c>
      <c r="D277" s="27" t="str">
        <f>if(ISBLANK(A277),,if('RHS INPUT'!D277=1,CONCATENATE("{quality = ",'RHS INPUT'!G277,"; price = ",Round('RHS INPUT'!M277),";};"),""))</f>
        <v>{quality = 2; price = 160;};</v>
      </c>
      <c r="E277" t="str">
        <f>IFERROR(__xludf.DUMMYFUNCTION("if(ISBLANK(A277),, if('RHS INPUT'!E277=1,CONCATENATE(CHAR(34),To_Text('RHS INPUT'!C277),CHAR(34),CHAR(44)),""""))"),"""rhsusf_weap_m1911a1"",")</f>
        <v>"rhsusf_weap_m1911a1",</v>
      </c>
      <c r="F277" s="28" t="str">
        <f>IF(isblank(A277) ,Concatenate("&gt; ",'RHS INPUT'!A277) , if('RHS INPUT'!F277=1,CONCATENATE(round('RHS INPUT'!N277),Char(44)," ",'RHS INPUT'!C277),""))</f>
        <v>38, rhsusf_weap_m1911a1</v>
      </c>
    </row>
    <row r="278" ht="12.0" customHeight="1">
      <c r="A278" s="1" t="str">
        <f>IFERROR(__xludf.DUMMYFUNCTION("if(ISBLANK('RHS INPUT'!C278),,CONCATENATE(CHAR(34),To_Text('RHS INPUT'!C278),CHAR(34),CHAR(44)))"),"""rhsusf_weap_glock17g4"",")</f>
        <v>"rhsusf_weap_glock17g4",</v>
      </c>
      <c r="B278" s="18" t="str">
        <f>if(isblank('RHS INPUT'!A278),,CONCATENATE("/*  ",'RHS INPUT'!A278,"  */"))</f>
        <v/>
      </c>
      <c r="C278" s="22" t="str">
        <f>if(isblank(A278),,if('RHS INPUT'!D278=1,Concatenate("class ",'RHS INPUT'!C278),))</f>
        <v>class rhsusf_weap_glock17g4</v>
      </c>
      <c r="D278" s="27" t="str">
        <f>if(ISBLANK(A278),,if('RHS INPUT'!D278=1,CONCATENATE("{quality = ",'RHS INPUT'!G278,"; price = ",Round('RHS INPUT'!M278),";};"),""))</f>
        <v>{quality = 1; price = 80;};</v>
      </c>
      <c r="E278" t="str">
        <f>IFERROR(__xludf.DUMMYFUNCTION("if(ISBLANK(A278),, if('RHS INPUT'!E278=1,CONCATENATE(CHAR(34),To_Text('RHS INPUT'!C278),CHAR(34),CHAR(44)),""""))"),"""rhsusf_weap_glock17g4"",")</f>
        <v>"rhsusf_weap_glock17g4",</v>
      </c>
      <c r="F278" s="28" t="str">
        <f>IF(isblank(A278) ,Concatenate("&gt; ",'RHS INPUT'!A278) , if('RHS INPUT'!F278=1,CONCATENATE(round('RHS INPUT'!N278),Char(44)," ",'RHS INPUT'!C278),""))</f>
        <v>56, rhsusf_weap_glock17g4</v>
      </c>
    </row>
    <row r="279" ht="12.0" customHeight="1">
      <c r="A279" s="1" t="str">
        <f>IFERROR(__xludf.DUMMYFUNCTION("if(ISBLANK('RHS INPUT'!C279),,CONCATENATE(CHAR(34),To_Text('RHS INPUT'!C279),CHAR(34),CHAR(44)))"),"")</f>
        <v/>
      </c>
      <c r="B279" s="18" t="str">
        <f>if(isblank('RHS INPUT'!A279),,CONCATENATE("/*  ",'RHS INPUT'!A279,"  */"))</f>
        <v>/*  SUB_MACHINE_GUNS  */</v>
      </c>
      <c r="C279" s="22" t="str">
        <f>if(isblank(A279),,if('RHS INPUT'!D279=1,Concatenate("class ",'RHS INPUT'!C279),))</f>
        <v/>
      </c>
      <c r="D279" s="27" t="str">
        <f>if(ISBLANK(A279),,if('RHS INPUT'!D279=1,CONCATENATE("{quality = ",'RHS INPUT'!G279,"; price = ",Round('RHS INPUT'!M279),";};"),""))</f>
        <v/>
      </c>
      <c r="E279" t="str">
        <f>IFERROR(__xludf.DUMMYFUNCTION("if(ISBLANK(A279),, if('RHS INPUT'!E279=1,CONCATENATE(CHAR(34),To_Text('RHS INPUT'!C279),CHAR(34),CHAR(44)),""""))"),"")</f>
        <v/>
      </c>
      <c r="F279" s="28" t="str">
        <f>IF(isblank(A279) ,Concatenate("&gt; ",'RHS INPUT'!A279) , if('RHS INPUT'!F279=1,CONCATENATE(round('RHS INPUT'!N279),Char(44)," ",'RHS INPUT'!C279),""))</f>
        <v>&gt; SUB_MACHINE_GUNS</v>
      </c>
    </row>
    <row r="280" ht="12.0" customHeight="1">
      <c r="A280" s="1" t="str">
        <f>IFERROR(__xludf.DUMMYFUNCTION("if(ISBLANK('RHS INPUT'!C280),,CONCATENATE(CHAR(34),To_Text('RHS INPUT'!C280),CHAR(34),CHAR(44)))"),"""hgun_PDW2000_F"",")</f>
        <v>"hgun_PDW2000_F",</v>
      </c>
      <c r="B280" s="18" t="str">
        <f>if(isblank('RHS INPUT'!A280),,CONCATENATE("/*  ",'RHS INPUT'!A280,"  */"))</f>
        <v/>
      </c>
      <c r="C280" s="22" t="str">
        <f>if(isblank(A280),,if('RHS INPUT'!D280=1,Concatenate("class ",'RHS INPUT'!C280),))</f>
        <v>class hgun_PDW2000_F</v>
      </c>
      <c r="D280" s="27" t="str">
        <f>if(ISBLANK(A280),,if('RHS INPUT'!D280=1,CONCATENATE("{quality = ",'RHS INPUT'!G280,"; price = ",Round('RHS INPUT'!M280),";};"),""))</f>
        <v>{quality = 1; price = 150;};</v>
      </c>
      <c r="E280" t="str">
        <f>IFERROR(__xludf.DUMMYFUNCTION("if(ISBLANK(A280),, if('RHS INPUT'!E280=1,CONCATENATE(CHAR(34),To_Text('RHS INPUT'!C280),CHAR(34),CHAR(44)),""""))"),"""hgun_PDW2000_F"",")</f>
        <v>"hgun_PDW2000_F",</v>
      </c>
      <c r="F280" s="28" t="str">
        <f>IF(isblank(A280) ,Concatenate("&gt; ",'RHS INPUT'!A280) , if('RHS INPUT'!F280=1,CONCATENATE(round('RHS INPUT'!N280),Char(44)," ",'RHS INPUT'!C280),""))</f>
        <v>40, hgun_PDW2000_F</v>
      </c>
    </row>
    <row r="281" ht="12.0" customHeight="1">
      <c r="A281" s="1" t="str">
        <f>IFERROR(__xludf.DUMMYFUNCTION("if(ISBLANK('RHS INPUT'!C281),,CONCATENATE(CHAR(34),To_Text('RHS INPUT'!C281),CHAR(34),CHAR(44)))"),"""SMG_01_F"",")</f>
        <v>"SMG_01_F",</v>
      </c>
      <c r="B281" s="18" t="str">
        <f>if(isblank('RHS INPUT'!A281),,CONCATENATE("/*  ",'RHS INPUT'!A281,"  */"))</f>
        <v/>
      </c>
      <c r="C281" s="22" t="str">
        <f>if(isblank(A281),,if('RHS INPUT'!D281=1,Concatenate("class ",'RHS INPUT'!C281),))</f>
        <v>class SMG_01_F</v>
      </c>
      <c r="D281" s="27" t="str">
        <f>if(ISBLANK(A281),,if('RHS INPUT'!D281=1,CONCATENATE("{quality = ",'RHS INPUT'!G281,"; price = ",Round('RHS INPUT'!M281),";};"),""))</f>
        <v>{quality = 1; price = 200;};</v>
      </c>
      <c r="E281" t="str">
        <f>IFERROR(__xludf.DUMMYFUNCTION("if(ISBLANK(A281),, if('RHS INPUT'!E281=1,CONCATENATE(CHAR(34),To_Text('RHS INPUT'!C281),CHAR(34),CHAR(44)),""""))"),"""SMG_01_F"",")</f>
        <v>"SMG_01_F",</v>
      </c>
      <c r="F281" s="28" t="str">
        <f>IF(isblank(A281) ,Concatenate("&gt; ",'RHS INPUT'!A281) , if('RHS INPUT'!F281=1,CONCATENATE(round('RHS INPUT'!N281),Char(44)," ",'RHS INPUT'!C281),""))</f>
        <v>33, SMG_01_F</v>
      </c>
    </row>
    <row r="282" ht="12.0" customHeight="1">
      <c r="A282" s="1" t="str">
        <f>IFERROR(__xludf.DUMMYFUNCTION("if(ISBLANK('RHS INPUT'!C282),,CONCATENATE(CHAR(34),To_Text('RHS INPUT'!C282),CHAR(34),CHAR(44)))"),"""SMG_02_F"",")</f>
        <v>"SMG_02_F",</v>
      </c>
      <c r="B282" s="18" t="str">
        <f>if(isblank('RHS INPUT'!A282),,CONCATENATE("/*  ",'RHS INPUT'!A282,"  */"))</f>
        <v/>
      </c>
      <c r="C282" s="22" t="str">
        <f>if(isblank(A282),,if('RHS INPUT'!D282=1,Concatenate("class ",'RHS INPUT'!C282),))</f>
        <v>class SMG_02_F</v>
      </c>
      <c r="D282" s="27" t="str">
        <f>if(ISBLANK(A282),,if('RHS INPUT'!D282=1,CONCATENATE("{quality = ",'RHS INPUT'!G282,"; price = ",Round('RHS INPUT'!M282),";};"),""))</f>
        <v>{quality = 1; price = 250;};</v>
      </c>
      <c r="E282" t="str">
        <f>IFERROR(__xludf.DUMMYFUNCTION("if(ISBLANK(A282),, if('RHS INPUT'!E282=1,CONCATENATE(CHAR(34),To_Text('RHS INPUT'!C282),CHAR(34),CHAR(44)),""""))"),"""SMG_02_F"",")</f>
        <v>"SMG_02_F",</v>
      </c>
      <c r="F282" s="28" t="str">
        <f>IF(isblank(A282) ,Concatenate("&gt; ",'RHS INPUT'!A282) , if('RHS INPUT'!F282=1,CONCATENATE(round('RHS INPUT'!N282),Char(44)," ",'RHS INPUT'!C282),""))</f>
        <v>29, SMG_02_F</v>
      </c>
    </row>
    <row r="283" ht="12.0" customHeight="1">
      <c r="A283" s="1" t="str">
        <f>IFERROR(__xludf.DUMMYFUNCTION("if(ISBLANK('RHS INPUT'!C283),,CONCATENATE(CHAR(34),To_Text('RHS INPUT'!C283),CHAR(34),CHAR(44)))"),"")</f>
        <v/>
      </c>
      <c r="B283" s="18" t="str">
        <f>if(isblank('RHS INPUT'!A283),,CONCATENATE("/*  ",'RHS INPUT'!A283,"  */"))</f>
        <v>/*  LIGHT_MACHINE_GUNS  */</v>
      </c>
      <c r="C283" s="22" t="str">
        <f>if(isblank(A283),,if('RHS INPUT'!D283=1,Concatenate("class ",'RHS INPUT'!C283),))</f>
        <v/>
      </c>
      <c r="D283" s="27" t="str">
        <f>if(ISBLANK(A283),,if('RHS INPUT'!D283=1,CONCATENATE("{quality = ",'RHS INPUT'!G283,"; price = ",Round('RHS INPUT'!M283),";};"),""))</f>
        <v/>
      </c>
      <c r="E283" t="str">
        <f>IFERROR(__xludf.DUMMYFUNCTION("if(ISBLANK(A283),, if('RHS INPUT'!E283=1,CONCATENATE(CHAR(34),To_Text('RHS INPUT'!C283),CHAR(34),CHAR(44)),""""))"),"")</f>
        <v/>
      </c>
      <c r="F283" s="28" t="str">
        <f>IF(isblank(A283) ,Concatenate("&gt; ",'RHS INPUT'!A283) , if('RHS INPUT'!F283=1,CONCATENATE(round('RHS INPUT'!N283),Char(44)," ",'RHS INPUT'!C283),""))</f>
        <v>&gt; LIGHT_MACHINE_GUNS</v>
      </c>
    </row>
    <row r="284" ht="12.0" customHeight="1">
      <c r="A284" s="1" t="str">
        <f>IFERROR(__xludf.DUMMYFUNCTION("if(ISBLANK('RHS INPUT'!C284),,CONCATENATE(CHAR(34),To_Text('RHS INPUT'!C284),CHAR(34),CHAR(44)))"),"""arifle_MX_SW_Black_F"",")</f>
        <v>"arifle_MX_SW_Black_F",</v>
      </c>
      <c r="B284" s="18" t="str">
        <f>if(isblank('RHS INPUT'!A284),,CONCATENATE("/*  ",'RHS INPUT'!A284,"  */"))</f>
        <v/>
      </c>
      <c r="C284" s="22" t="str">
        <f>if(isblank(A284),,if('RHS INPUT'!D284=1,Concatenate("class ",'RHS INPUT'!C284),))</f>
        <v>class arifle_MX_SW_Black_F</v>
      </c>
      <c r="D284" s="27" t="str">
        <f>if(ISBLANK(A284),,if('RHS INPUT'!D284=1,CONCATENATE("{quality = ",'RHS INPUT'!G284,"; price = ",Round('RHS INPUT'!M284),";};"),""))</f>
        <v>{quality = 1; price = 900;};</v>
      </c>
      <c r="E284" t="str">
        <f>IFERROR(__xludf.DUMMYFUNCTION("if(ISBLANK(A284),, if('RHS INPUT'!E284=1,CONCATENATE(CHAR(34),To_Text('RHS INPUT'!C284),CHAR(34),CHAR(44)),""""))"),"""arifle_MX_SW_Black_F"",")</f>
        <v>"arifle_MX_SW_Black_F",</v>
      </c>
      <c r="F284" s="28" t="str">
        <f>IF(isblank(A284) ,Concatenate("&gt; ",'RHS INPUT'!A284) , if('RHS INPUT'!F284=1,CONCATENATE(round('RHS INPUT'!N284),Char(44)," ",'RHS INPUT'!C284),""))</f>
        <v>10, arifle_MX_SW_Black_F</v>
      </c>
    </row>
    <row r="285" ht="12.0" customHeight="1">
      <c r="A285" s="1" t="str">
        <f>IFERROR(__xludf.DUMMYFUNCTION("if(ISBLANK('RHS INPUT'!C285),,CONCATENATE(CHAR(34),To_Text('RHS INPUT'!C285),CHAR(34),CHAR(44)))"),"""arifle_MX_SW_F"",")</f>
        <v>"arifle_MX_SW_F",</v>
      </c>
      <c r="B285" s="18" t="str">
        <f>if(isblank('RHS INPUT'!A285),,CONCATENATE("/*  ",'RHS INPUT'!A285,"  */"))</f>
        <v/>
      </c>
      <c r="C285" s="22" t="str">
        <f>if(isblank(A285),,if('RHS INPUT'!D285=1,Concatenate("class ",'RHS INPUT'!C285),))</f>
        <v>class arifle_MX_SW_F</v>
      </c>
      <c r="D285" s="27" t="str">
        <f>if(ISBLANK(A285),,if('RHS INPUT'!D285=1,CONCATENATE("{quality = ",'RHS INPUT'!G285,"; price = ",Round('RHS INPUT'!M285),";};"),""))</f>
        <v>{quality = 1; price = 900;};</v>
      </c>
      <c r="E285" t="str">
        <f>IFERROR(__xludf.DUMMYFUNCTION("if(ISBLANK(A285),, if('RHS INPUT'!E285=1,CONCATENATE(CHAR(34),To_Text('RHS INPUT'!C285),CHAR(34),CHAR(44)),""""))"),"""arifle_MX_SW_F"",")</f>
        <v>"arifle_MX_SW_F",</v>
      </c>
      <c r="F285" s="28" t="str">
        <f>IF(isblank(A285) ,Concatenate("&gt; ",'RHS INPUT'!A285) , if('RHS INPUT'!F285=1,CONCATENATE(round('RHS INPUT'!N285),Char(44)," ",'RHS INPUT'!C285),""))</f>
        <v>10, arifle_MX_SW_F</v>
      </c>
    </row>
    <row r="286" ht="12.0" customHeight="1">
      <c r="A286" s="1" t="str">
        <f>IFERROR(__xludf.DUMMYFUNCTION("if(ISBLANK('RHS INPUT'!C286),,CONCATENATE(CHAR(34),To_Text('RHS INPUT'!C286),CHAR(34),CHAR(44)))"),"""LMG_Mk200_F"",")</f>
        <v>"LMG_Mk200_F",</v>
      </c>
      <c r="B286" s="18" t="str">
        <f>if(isblank('RHS INPUT'!A286),,CONCATENATE("/*  ",'RHS INPUT'!A286,"  */"))</f>
        <v/>
      </c>
      <c r="C286" s="22" t="str">
        <f>if(isblank(A286),,if('RHS INPUT'!D286=1,Concatenate("class ",'RHS INPUT'!C286),))</f>
        <v>class LMG_Mk200_F</v>
      </c>
      <c r="D286" s="27" t="str">
        <f>if(ISBLANK(A286),,if('RHS INPUT'!D286=1,CONCATENATE("{quality = ",'RHS INPUT'!G286,"; price = ",Round('RHS INPUT'!M286),";};"),""))</f>
        <v>{quality = 1; price = 900;};</v>
      </c>
      <c r="E286" t="str">
        <f>IFERROR(__xludf.DUMMYFUNCTION("if(ISBLANK(A286),, if('RHS INPUT'!E286=1,CONCATENATE(CHAR(34),To_Text('RHS INPUT'!C286),CHAR(34),CHAR(44)),""""))"),"""LMG_Mk200_F"",")</f>
        <v>"LMG_Mk200_F",</v>
      </c>
      <c r="F286" s="28" t="str">
        <f>IF(isblank(A286) ,Concatenate("&gt; ",'RHS INPUT'!A286) , if('RHS INPUT'!F286=1,CONCATENATE(round('RHS INPUT'!N286),Char(44)," ",'RHS INPUT'!C286),""))</f>
        <v>10, LMG_Mk200_F</v>
      </c>
    </row>
    <row r="287" ht="12.0" customHeight="1">
      <c r="A287" s="1" t="str">
        <f>IFERROR(__xludf.DUMMYFUNCTION("if(ISBLANK('RHS INPUT'!C287),,CONCATENATE(CHAR(34),To_Text('RHS INPUT'!C287),CHAR(34),CHAR(44)))"),"""MMG_01_hex_F"",")</f>
        <v>"MMG_01_hex_F",</v>
      </c>
      <c r="B287" s="18" t="str">
        <f>if(isblank('RHS INPUT'!A287),,CONCATENATE("/*  ",'RHS INPUT'!A287,"  */"))</f>
        <v/>
      </c>
      <c r="C287" s="22" t="str">
        <f>if(isblank(A287),,if('RHS INPUT'!D287=1,Concatenate("class ",'RHS INPUT'!C287),))</f>
        <v>class MMG_01_hex_F</v>
      </c>
      <c r="D287" s="27" t="str">
        <f>if(ISBLANK(A287),,if('RHS INPUT'!D287=1,CONCATENATE("{quality = ",'RHS INPUT'!G287,"; price = ",Round('RHS INPUT'!M287),";};"),""))</f>
        <v>{quality = 3; price = 4800;};</v>
      </c>
      <c r="E287" t="str">
        <f>IFERROR(__xludf.DUMMYFUNCTION("if(ISBLANK(A287),, if('RHS INPUT'!E287=1,CONCATENATE(CHAR(34),To_Text('RHS INPUT'!C287),CHAR(34),CHAR(44)),""""))"),"""MMG_01_hex_F"",")</f>
        <v>"MMG_01_hex_F",</v>
      </c>
      <c r="F287" s="28" t="str">
        <f>IF(isblank(A287) ,Concatenate("&gt; ",'RHS INPUT'!A287) , if('RHS INPUT'!F287=1,CONCATENATE(round('RHS INPUT'!N287),Char(44)," ",'RHS INPUT'!C287),""))</f>
        <v>2, MMG_01_hex_F</v>
      </c>
    </row>
    <row r="288" ht="12.0" customHeight="1">
      <c r="A288" s="1" t="str">
        <f>IFERROR(__xludf.DUMMYFUNCTION("if(ISBLANK('RHS INPUT'!C288),,CONCATENATE(CHAR(34),To_Text('RHS INPUT'!C288),CHAR(34),CHAR(44)))"),"""MMG_01_tan_F"",")</f>
        <v>"MMG_01_tan_F",</v>
      </c>
      <c r="B288" s="18" t="str">
        <f>if(isblank('RHS INPUT'!A288),,CONCATENATE("/*  ",'RHS INPUT'!A288,"  */"))</f>
        <v/>
      </c>
      <c r="C288" s="22" t="str">
        <f>if(isblank(A288),,if('RHS INPUT'!D288=1,Concatenate("class ",'RHS INPUT'!C288),))</f>
        <v>class MMG_01_tan_F</v>
      </c>
      <c r="D288" s="27" t="str">
        <f>if(ISBLANK(A288),,if('RHS INPUT'!D288=1,CONCATENATE("{quality = ",'RHS INPUT'!G288,"; price = ",Round('RHS INPUT'!M288),";};"),""))</f>
        <v>{quality = 3; price = 4800;};</v>
      </c>
      <c r="E288" t="str">
        <f>IFERROR(__xludf.DUMMYFUNCTION("if(ISBLANK(A288),, if('RHS INPUT'!E288=1,CONCATENATE(CHAR(34),To_Text('RHS INPUT'!C288),CHAR(34),CHAR(44)),""""))"),"""MMG_01_tan_F"",")</f>
        <v>"MMG_01_tan_F",</v>
      </c>
      <c r="F288" s="28" t="str">
        <f>IF(isblank(A288) ,Concatenate("&gt; ",'RHS INPUT'!A288) , if('RHS INPUT'!F288=1,CONCATENATE(round('RHS INPUT'!N288),Char(44)," ",'RHS INPUT'!C288),""))</f>
        <v>2, MMG_01_tan_F</v>
      </c>
    </row>
    <row r="289" ht="12.0" customHeight="1">
      <c r="A289" s="1" t="str">
        <f>IFERROR(__xludf.DUMMYFUNCTION("if(ISBLANK('RHS INPUT'!C289),,CONCATENATE(CHAR(34),To_Text('RHS INPUT'!C289),CHAR(34),CHAR(44)))"),"""MMG_02_camo_F"",")</f>
        <v>"MMG_02_camo_F",</v>
      </c>
      <c r="B289" s="18" t="str">
        <f>if(isblank('RHS INPUT'!A289),,CONCATENATE("/*  ",'RHS INPUT'!A289,"  */"))</f>
        <v/>
      </c>
      <c r="C289" s="22" t="str">
        <f>if(isblank(A289),,if('RHS INPUT'!D289=1,Concatenate("class ",'RHS INPUT'!C289),))</f>
        <v>class MMG_02_camo_F</v>
      </c>
      <c r="D289" s="27" t="str">
        <f>if(ISBLANK(A289),,if('RHS INPUT'!D289=1,CONCATENATE("{quality = ",'RHS INPUT'!G289,"; price = ",Round('RHS INPUT'!M289),";};"),""))</f>
        <v>{quality = 3; price = 6000;};</v>
      </c>
      <c r="E289" t="str">
        <f>IFERROR(__xludf.DUMMYFUNCTION("if(ISBLANK(A289),, if('RHS INPUT'!E289=1,CONCATENATE(CHAR(34),To_Text('RHS INPUT'!C289),CHAR(34),CHAR(44)),""""))"),"""MMG_02_camo_F"",")</f>
        <v>"MMG_02_camo_F",</v>
      </c>
      <c r="F289" s="28" t="str">
        <f>IF(isblank(A289) ,Concatenate("&gt; ",'RHS INPUT'!A289) , if('RHS INPUT'!F289=1,CONCATENATE(round('RHS INPUT'!N289),Char(44)," ",'RHS INPUT'!C289),""))</f>
        <v>2, MMG_02_camo_F</v>
      </c>
    </row>
    <row r="290" ht="12.0" customHeight="1">
      <c r="A290" s="1" t="str">
        <f>IFERROR(__xludf.DUMMYFUNCTION("if(ISBLANK('RHS INPUT'!C290),,CONCATENATE(CHAR(34),To_Text('RHS INPUT'!C290),CHAR(34),CHAR(44)))"),"""MMG_02_black_F"",")</f>
        <v>"MMG_02_black_F",</v>
      </c>
      <c r="B290" s="18" t="str">
        <f>if(isblank('RHS INPUT'!A290),,CONCATENATE("/*  ",'RHS INPUT'!A290,"  */"))</f>
        <v/>
      </c>
      <c r="C290" s="22" t="str">
        <f>if(isblank(A290),,if('RHS INPUT'!D290=1,Concatenate("class ",'RHS INPUT'!C290),))</f>
        <v>class MMG_02_black_F</v>
      </c>
      <c r="D290" s="27" t="str">
        <f>if(ISBLANK(A290),,if('RHS INPUT'!D290=1,CONCATENATE("{quality = ",'RHS INPUT'!G290,"; price = ",Round('RHS INPUT'!M290),";};"),""))</f>
        <v>{quality = 3; price = 6000;};</v>
      </c>
      <c r="E290" t="str">
        <f>IFERROR(__xludf.DUMMYFUNCTION("if(ISBLANK(A290),, if('RHS INPUT'!E290=1,CONCATENATE(CHAR(34),To_Text('RHS INPUT'!C290),CHAR(34),CHAR(44)),""""))"),"""MMG_02_black_F"",")</f>
        <v>"MMG_02_black_F",</v>
      </c>
      <c r="F290" s="28" t="str">
        <f>IF(isblank(A290) ,Concatenate("&gt; ",'RHS INPUT'!A290) , if('RHS INPUT'!F290=1,CONCATENATE(round('RHS INPUT'!N290),Char(44)," ",'RHS INPUT'!C290),""))</f>
        <v>2, MMG_02_black_F</v>
      </c>
    </row>
    <row r="291" ht="12.0" customHeight="1">
      <c r="A291" s="1" t="str">
        <f>IFERROR(__xludf.DUMMYFUNCTION("if(ISBLANK('RHS INPUT'!C291),,CONCATENATE(CHAR(34),To_Text('RHS INPUT'!C291),CHAR(34),CHAR(44)))"),"""MMG_02_sand_F"",")</f>
        <v>"MMG_02_sand_F",</v>
      </c>
      <c r="B291" s="18" t="str">
        <f>if(isblank('RHS INPUT'!A291),,CONCATENATE("/*  ",'RHS INPUT'!A291,"  */"))</f>
        <v/>
      </c>
      <c r="C291" s="22" t="str">
        <f>if(isblank(A291),,if('RHS INPUT'!D291=1,Concatenate("class ",'RHS INPUT'!C291),))</f>
        <v>class MMG_02_sand_F</v>
      </c>
      <c r="D291" s="27" t="str">
        <f>if(ISBLANK(A291),,if('RHS INPUT'!D291=1,CONCATENATE("{quality = ",'RHS INPUT'!G291,"; price = ",Round('RHS INPUT'!M291),";};"),""))</f>
        <v>{quality = 3; price = 6000;};</v>
      </c>
      <c r="E291" t="str">
        <f>IFERROR(__xludf.DUMMYFUNCTION("if(ISBLANK(A291),, if('RHS INPUT'!E291=1,CONCATENATE(CHAR(34),To_Text('RHS INPUT'!C291),CHAR(34),CHAR(44)),""""))"),"""MMG_02_sand_F"",")</f>
        <v>"MMG_02_sand_F",</v>
      </c>
      <c r="F291" s="28" t="str">
        <f>IF(isblank(A291) ,Concatenate("&gt; ",'RHS INPUT'!A291) , if('RHS INPUT'!F291=1,CONCATENATE(round('RHS INPUT'!N291),Char(44)," ",'RHS INPUT'!C291),""))</f>
        <v>2, MMG_02_sand_F</v>
      </c>
    </row>
    <row r="292" ht="12.0" customHeight="1">
      <c r="A292" s="1" t="str">
        <f>IFERROR(__xludf.DUMMYFUNCTION("if(ISBLANK('RHS INPUT'!C292),,CONCATENATE(CHAR(34),To_Text('RHS INPUT'!C292),CHAR(34),CHAR(44)))"),"""LMG_Zafir_F"",")</f>
        <v>"LMG_Zafir_F",</v>
      </c>
      <c r="B292" s="18" t="str">
        <f>if(isblank('RHS INPUT'!A292),,CONCATENATE("/*  ",'RHS INPUT'!A292,"  */"))</f>
        <v/>
      </c>
      <c r="C292" s="22" t="str">
        <f>if(isblank(A292),,if('RHS INPUT'!D292=1,Concatenate("class ",'RHS INPUT'!C292),))</f>
        <v>class LMG_Zafir_F</v>
      </c>
      <c r="D292" s="27" t="str">
        <f>if(ISBLANK(A292),,if('RHS INPUT'!D292=1,CONCATENATE("{quality = ",'RHS INPUT'!G292,"; price = ",Round('RHS INPUT'!M292),";};"),""))</f>
        <v>{quality = 3; price = 3000;};</v>
      </c>
      <c r="E292" t="str">
        <f>IFERROR(__xludf.DUMMYFUNCTION("if(ISBLANK(A292),, if('RHS INPUT'!E292=1,CONCATENATE(CHAR(34),To_Text('RHS INPUT'!C292),CHAR(34),CHAR(44)),""""))"),"""LMG_Zafir_F"",")</f>
        <v>"LMG_Zafir_F",</v>
      </c>
      <c r="F292" s="28" t="str">
        <f>IF(isblank(A292) ,Concatenate("&gt; ",'RHS INPUT'!A292) , if('RHS INPUT'!F292=1,CONCATENATE(round('RHS INPUT'!N292),Char(44)," ",'RHS INPUT'!C292),""))</f>
        <v>3, LMG_Zafir_F</v>
      </c>
    </row>
    <row r="293" ht="12.0" customHeight="1">
      <c r="A293" s="1" t="str">
        <f>IFERROR(__xludf.DUMMYFUNCTION("if(ISBLANK('RHS INPUT'!C293),,CONCATENATE(CHAR(34),To_Text('RHS INPUT'!C293),CHAR(34),CHAR(44)))"),"""rhs_weap_m249_pip_L"",")</f>
        <v>"rhs_weap_m249_pip_L",</v>
      </c>
      <c r="B293" s="18" t="str">
        <f>if(isblank('RHS INPUT'!A293),,CONCATENATE("/*  ",'RHS INPUT'!A293,"  */"))</f>
        <v/>
      </c>
      <c r="C293" s="22" t="str">
        <f>if(isblank(A293),,if('RHS INPUT'!D293=1,Concatenate("class ",'RHS INPUT'!C293),))</f>
        <v>class rhs_weap_m249_pip_L</v>
      </c>
      <c r="D293" s="27" t="str">
        <f>if(ISBLANK(A293),,if('RHS INPUT'!D293=1,CONCATENATE("{quality = ",'RHS INPUT'!G293,"; price = ",Round('RHS INPUT'!M293),";};"),""))</f>
        <v>{quality = 2; price = 800;};</v>
      </c>
      <c r="E293" t="str">
        <f>IFERROR(__xludf.DUMMYFUNCTION("if(ISBLANK(A293),, if('RHS INPUT'!E293=1,CONCATENATE(CHAR(34),To_Text('RHS INPUT'!C293),CHAR(34),CHAR(44)),""""))"),"""rhs_weap_m249_pip_L"",")</f>
        <v>"rhs_weap_m249_pip_L",</v>
      </c>
      <c r="F293" s="28" t="str">
        <f>IF(isblank(A293) ,Concatenate("&gt; ",'RHS INPUT'!A293) , if('RHS INPUT'!F293=1,CONCATENATE(round('RHS INPUT'!N293),Char(44)," ",'RHS INPUT'!C293),""))</f>
        <v>11, rhs_weap_m249_pip_L</v>
      </c>
    </row>
    <row r="294" ht="12.0" customHeight="1">
      <c r="A294" s="1" t="str">
        <f>IFERROR(__xludf.DUMMYFUNCTION("if(ISBLANK('RHS INPUT'!C294),,CONCATENATE(CHAR(34),To_Text('RHS INPUT'!C294),CHAR(34),CHAR(44)))"),"""rhs_weap_m249_pip_L_para"",")</f>
        <v>"rhs_weap_m249_pip_L_para",</v>
      </c>
      <c r="B294" s="18" t="str">
        <f>if(isblank('RHS INPUT'!A294),,CONCATENATE("/*  ",'RHS INPUT'!A294,"  */"))</f>
        <v/>
      </c>
      <c r="C294" s="22" t="str">
        <f>if(isblank(A294),,if('RHS INPUT'!D294=1,Concatenate("class ",'RHS INPUT'!C294),))</f>
        <v>class rhs_weap_m249_pip_L_para</v>
      </c>
      <c r="D294" s="27" t="str">
        <f>if(ISBLANK(A294),,if('RHS INPUT'!D294=1,CONCATENATE("{quality = ",'RHS INPUT'!G294,"; price = ",Round('RHS INPUT'!M294),";};"),""))</f>
        <v>{quality = 2; price = 800;};</v>
      </c>
      <c r="E294" t="str">
        <f>IFERROR(__xludf.DUMMYFUNCTION("if(ISBLANK(A294),, if('RHS INPUT'!E294=1,CONCATENATE(CHAR(34),To_Text('RHS INPUT'!C294),CHAR(34),CHAR(44)),""""))"),"""rhs_weap_m249_pip_L_para"",")</f>
        <v>"rhs_weap_m249_pip_L_para",</v>
      </c>
      <c r="F294" s="28" t="str">
        <f>IF(isblank(A294) ,Concatenate("&gt; ",'RHS INPUT'!A294) , if('RHS INPUT'!F294=1,CONCATENATE(round('RHS INPUT'!N294),Char(44)," ",'RHS INPUT'!C294),""))</f>
        <v>11, rhs_weap_m249_pip_L_para</v>
      </c>
    </row>
    <row r="295" ht="12.0" customHeight="1">
      <c r="A295" s="1" t="str">
        <f>IFERROR(__xludf.DUMMYFUNCTION("if(ISBLANK('RHS INPUT'!C295),,CONCATENATE(CHAR(34),To_Text('RHS INPUT'!C295),CHAR(34),CHAR(44)))"),"""rhs_weap_m249_pip_L_vfg"",")</f>
        <v>"rhs_weap_m249_pip_L_vfg",</v>
      </c>
      <c r="B295" s="18" t="str">
        <f>if(isblank('RHS INPUT'!A295),,CONCATENATE("/*  ",'RHS INPUT'!A295,"  */"))</f>
        <v/>
      </c>
      <c r="C295" s="22" t="str">
        <f>if(isblank(A295),,if('RHS INPUT'!D295=1,Concatenate("class ",'RHS INPUT'!C295),))</f>
        <v>class rhs_weap_m249_pip_L_vfg</v>
      </c>
      <c r="D295" s="27" t="str">
        <f>if(ISBLANK(A295),,if('RHS INPUT'!D295=1,CONCATENATE("{quality = ",'RHS INPUT'!G295,"; price = ",Round('RHS INPUT'!M295),";};"),""))</f>
        <v>{quality = 2; price = 900;};</v>
      </c>
      <c r="E295" t="str">
        <f>IFERROR(__xludf.DUMMYFUNCTION("if(ISBLANK(A295),, if('RHS INPUT'!E295=1,CONCATENATE(CHAR(34),To_Text('RHS INPUT'!C295),CHAR(34),CHAR(44)),""""))"),"""rhs_weap_m249_pip_L_vfg"",")</f>
        <v>"rhs_weap_m249_pip_L_vfg",</v>
      </c>
      <c r="F295" s="28" t="str">
        <f>IF(isblank(A295) ,Concatenate("&gt; ",'RHS INPUT'!A295) , if('RHS INPUT'!F295=1,CONCATENATE(round('RHS INPUT'!N295),Char(44)," ",'RHS INPUT'!C295),""))</f>
        <v>10, rhs_weap_m249_pip_L_vfg</v>
      </c>
    </row>
    <row r="296" ht="12.0" customHeight="1">
      <c r="A296" s="1" t="str">
        <f>IFERROR(__xludf.DUMMYFUNCTION("if(ISBLANK('RHS INPUT'!C296),,CONCATENATE(CHAR(34),To_Text('RHS INPUT'!C296),CHAR(34),CHAR(44)))"),"""rhs_weap_m249_pip_S"",")</f>
        <v>"rhs_weap_m249_pip_S",</v>
      </c>
      <c r="B296" s="18" t="str">
        <f>if(isblank('RHS INPUT'!A296),,CONCATENATE("/*  ",'RHS INPUT'!A296,"  */"))</f>
        <v/>
      </c>
      <c r="C296" s="22" t="str">
        <f>if(isblank(A296),,if('RHS INPUT'!D296=1,Concatenate("class ",'RHS INPUT'!C296),))</f>
        <v>class rhs_weap_m249_pip_S</v>
      </c>
      <c r="D296" s="27" t="str">
        <f>if(ISBLANK(A296),,if('RHS INPUT'!D296=1,CONCATENATE("{quality = ",'RHS INPUT'!G296,"; price = ",Round('RHS INPUT'!M296),";};"),""))</f>
        <v>{quality = 2; price = 800;};</v>
      </c>
      <c r="E296" t="str">
        <f>IFERROR(__xludf.DUMMYFUNCTION("if(ISBLANK(A296),, if('RHS INPUT'!E296=1,CONCATENATE(CHAR(34),To_Text('RHS INPUT'!C296),CHAR(34),CHAR(44)),""""))"),"""rhs_weap_m249_pip_S"",")</f>
        <v>"rhs_weap_m249_pip_S",</v>
      </c>
      <c r="F296" s="28" t="str">
        <f>IF(isblank(A296) ,Concatenate("&gt; ",'RHS INPUT'!A296) , if('RHS INPUT'!F296=1,CONCATENATE(round('RHS INPUT'!N296),Char(44)," ",'RHS INPUT'!C296),""))</f>
        <v>11, rhs_weap_m249_pip_S</v>
      </c>
    </row>
    <row r="297" ht="12.0" customHeight="1">
      <c r="A297" s="1" t="str">
        <f>IFERROR(__xludf.DUMMYFUNCTION("if(ISBLANK('RHS INPUT'!C297),,CONCATENATE(CHAR(34),To_Text('RHS INPUT'!C297),CHAR(34),CHAR(44)))"),"""rhs_weap_m249_pip_S_para"",")</f>
        <v>"rhs_weap_m249_pip_S_para",</v>
      </c>
      <c r="B297" s="18" t="str">
        <f>if(isblank('RHS INPUT'!A297),,CONCATENATE("/*  ",'RHS INPUT'!A297,"  */"))</f>
        <v/>
      </c>
      <c r="C297" s="22" t="str">
        <f>if(isblank(A297),,if('RHS INPUT'!D297=1,Concatenate("class ",'RHS INPUT'!C297),))</f>
        <v>class rhs_weap_m249_pip_S_para</v>
      </c>
      <c r="D297" s="27" t="str">
        <f>if(ISBLANK(A297),,if('RHS INPUT'!D297=1,CONCATENATE("{quality = ",'RHS INPUT'!G297,"; price = ",Round('RHS INPUT'!M297),";};"),""))</f>
        <v>{quality = 2; price = 800;};</v>
      </c>
      <c r="E297" t="str">
        <f>IFERROR(__xludf.DUMMYFUNCTION("if(ISBLANK(A297),, if('RHS INPUT'!E297=1,CONCATENATE(CHAR(34),To_Text('RHS INPUT'!C297),CHAR(34),CHAR(44)),""""))"),"""rhs_weap_m249_pip_S_para"",")</f>
        <v>"rhs_weap_m249_pip_S_para",</v>
      </c>
      <c r="F297" s="28" t="str">
        <f>IF(isblank(A297) ,Concatenate("&gt; ",'RHS INPUT'!A297) , if('RHS INPUT'!F297=1,CONCATENATE(round('RHS INPUT'!N297),Char(44)," ",'RHS INPUT'!C297),""))</f>
        <v>11, rhs_weap_m249_pip_S_para</v>
      </c>
    </row>
    <row r="298" ht="12.0" customHeight="1">
      <c r="A298" s="1" t="str">
        <f>IFERROR(__xludf.DUMMYFUNCTION("if(ISBLANK('RHS INPUT'!C298),,CONCATENATE(CHAR(34),To_Text('RHS INPUT'!C298),CHAR(34),CHAR(44)))"),"""rhs_weap_m249_pip_S_vfg"",")</f>
        <v>"rhs_weap_m249_pip_S_vfg",</v>
      </c>
      <c r="B298" s="18" t="str">
        <f>if(isblank('RHS INPUT'!A298),,CONCATENATE("/*  ",'RHS INPUT'!A298,"  */"))</f>
        <v/>
      </c>
      <c r="C298" s="22" t="str">
        <f>if(isblank(A298),,if('RHS INPUT'!D298=1,Concatenate("class ",'RHS INPUT'!C298),))</f>
        <v>class rhs_weap_m249_pip_S_vfg</v>
      </c>
      <c r="D298" s="27" t="str">
        <f>if(ISBLANK(A298),,if('RHS INPUT'!D298=1,CONCATENATE("{quality = ",'RHS INPUT'!G298,"; price = ",Round('RHS INPUT'!M298),";};"),""))</f>
        <v>{quality = 2; price = 900;};</v>
      </c>
      <c r="E298" t="str">
        <f>IFERROR(__xludf.DUMMYFUNCTION("if(ISBLANK(A298),, if('RHS INPUT'!E298=1,CONCATENATE(CHAR(34),To_Text('RHS INPUT'!C298),CHAR(34),CHAR(44)),""""))"),"""rhs_weap_m249_pip_S_vfg"",")</f>
        <v>"rhs_weap_m249_pip_S_vfg",</v>
      </c>
      <c r="F298" s="28" t="str">
        <f>IF(isblank(A298) ,Concatenate("&gt; ",'RHS INPUT'!A298) , if('RHS INPUT'!F298=1,CONCATENATE(round('RHS INPUT'!N298),Char(44)," ",'RHS INPUT'!C298),""))</f>
        <v>10, rhs_weap_m249_pip_S_vfg</v>
      </c>
    </row>
    <row r="299" ht="12.0" customHeight="1">
      <c r="A299" s="1" t="str">
        <f>IFERROR(__xludf.DUMMYFUNCTION("if(ISBLANK('RHS INPUT'!C299),,CONCATENATE(CHAR(34),To_Text('RHS INPUT'!C299),CHAR(34),CHAR(44)))"),"""rhs_weap_m240B_CAP"",")</f>
        <v>"rhs_weap_m240B_CAP",</v>
      </c>
      <c r="B299" s="18" t="str">
        <f>if(isblank('RHS INPUT'!A299),,CONCATENATE("/*  ",'RHS INPUT'!A299,"  */"))</f>
        <v/>
      </c>
      <c r="C299" s="22" t="str">
        <f>if(isblank(A299),,if('RHS INPUT'!D299=1,Concatenate("class ",'RHS INPUT'!C299),))</f>
        <v>class rhs_weap_m240B_CAP</v>
      </c>
      <c r="D299" s="27" t="str">
        <f>if(ISBLANK(A299),,if('RHS INPUT'!D299=1,CONCATENATE("{quality = ",'RHS INPUT'!G299,"; price = ",Round('RHS INPUT'!M299),";};"),""))</f>
        <v>{quality = 3; price = 3000;};</v>
      </c>
      <c r="E299" t="str">
        <f>IFERROR(__xludf.DUMMYFUNCTION("if(ISBLANK(A299),, if('RHS INPUT'!E299=1,CONCATENATE(CHAR(34),To_Text('RHS INPUT'!C299),CHAR(34),CHAR(44)),""""))"),"""rhs_weap_m240B_CAP"",")</f>
        <v>"rhs_weap_m240B_CAP",</v>
      </c>
      <c r="F299" s="28" t="str">
        <f>IF(isblank(A299) ,Concatenate("&gt; ",'RHS INPUT'!A299) , if('RHS INPUT'!F299=1,CONCATENATE(round('RHS INPUT'!N299),Char(44)," ",'RHS INPUT'!C299),""))</f>
        <v>3, rhs_weap_m240B_CAP</v>
      </c>
    </row>
    <row r="300" ht="12.0" customHeight="1">
      <c r="A300" s="1" t="str">
        <f>IFERROR(__xludf.DUMMYFUNCTION("if(ISBLANK('RHS INPUT'!C300),,CONCATENATE(CHAR(34),To_Text('RHS INPUT'!C300),CHAR(34),CHAR(44)))"),"""rhs_weap_pkm"",")</f>
        <v>"rhs_weap_pkm",</v>
      </c>
      <c r="B300" s="18" t="str">
        <f>if(isblank('RHS INPUT'!A300),,CONCATENATE("/*  ",'RHS INPUT'!A300,"  */"))</f>
        <v/>
      </c>
      <c r="C300" s="22" t="str">
        <f>if(isblank(A300),,if('RHS INPUT'!D300=1,Concatenate("class ",'RHS INPUT'!C300),))</f>
        <v>class rhs_weap_pkm</v>
      </c>
      <c r="D300" s="27" t="str">
        <f>if(ISBLANK(A300),,if('RHS INPUT'!D300=1,CONCATENATE("{quality = ",'RHS INPUT'!G300,"; price = ",Round('RHS INPUT'!M300),";};"),""))</f>
        <v>{quality = 3; price = 2700;};</v>
      </c>
      <c r="E300" t="str">
        <f>IFERROR(__xludf.DUMMYFUNCTION("if(ISBLANK(A300),, if('RHS INPUT'!E300=1,CONCATENATE(CHAR(34),To_Text('RHS INPUT'!C300),CHAR(34),CHAR(44)),""""))"),"""rhs_weap_pkm"",")</f>
        <v>"rhs_weap_pkm",</v>
      </c>
      <c r="F300" s="28" t="str">
        <f>IF(isblank(A300) ,Concatenate("&gt; ",'RHS INPUT'!A300) , if('RHS INPUT'!F300=1,CONCATENATE(round('RHS INPUT'!N300),Char(44)," ",'RHS INPUT'!C300),""))</f>
        <v>4, rhs_weap_pkm</v>
      </c>
    </row>
    <row r="301" ht="12.0" customHeight="1">
      <c r="A301" s="1" t="str">
        <f>IFERROR(__xludf.DUMMYFUNCTION("if(ISBLANK('RHS INPUT'!C301),,CONCATENATE(CHAR(34),To_Text('RHS INPUT'!C301),CHAR(34),CHAR(44)))"),"""rhs_weap_pkp"",")</f>
        <v>"rhs_weap_pkp",</v>
      </c>
      <c r="B301" s="18" t="str">
        <f>if(isblank('RHS INPUT'!A301),,CONCATENATE("/*  ",'RHS INPUT'!A301,"  */"))</f>
        <v/>
      </c>
      <c r="C301" s="22" t="str">
        <f>if(isblank(A301),,if('RHS INPUT'!D301=1,Concatenate("class ",'RHS INPUT'!C301),))</f>
        <v>class rhs_weap_pkp</v>
      </c>
      <c r="D301" s="27" t="str">
        <f>if(ISBLANK(A301),,if('RHS INPUT'!D301=1,CONCATENATE("{quality = ",'RHS INPUT'!G301,"; price = ",Round('RHS INPUT'!M301),";};"),""))</f>
        <v>{quality = 3; price = 2700;};</v>
      </c>
      <c r="E301" t="str">
        <f>IFERROR(__xludf.DUMMYFUNCTION("if(ISBLANK(A301),, if('RHS INPUT'!E301=1,CONCATENATE(CHAR(34),To_Text('RHS INPUT'!C301),CHAR(34),CHAR(44)),""""))"),"""rhs_weap_pkp"",")</f>
        <v>"rhs_weap_pkp",</v>
      </c>
      <c r="F301" s="28" t="str">
        <f>IF(isblank(A301) ,Concatenate("&gt; ",'RHS INPUT'!A301) , if('RHS INPUT'!F301=1,CONCATENATE(round('RHS INPUT'!N301),Char(44)," ",'RHS INPUT'!C301),""))</f>
        <v>4, rhs_weap_pkp</v>
      </c>
    </row>
    <row r="302" ht="12.0" customHeight="1">
      <c r="A302" s="1" t="str">
        <f>IFERROR(__xludf.DUMMYFUNCTION("if(ISBLANK('RHS INPUT'!C302),,CONCATENATE(CHAR(34),To_Text('RHS INPUT'!C302),CHAR(34),CHAR(44)))"),"")</f>
        <v/>
      </c>
      <c r="B302" s="18" t="str">
        <f>if(isblank('RHS INPUT'!A302),,CONCATENATE("/*  ",'RHS INPUT'!A302,"  */"))</f>
        <v>/*  ASSAULT_RIFLES  */</v>
      </c>
      <c r="C302" s="22" t="str">
        <f>if(isblank(A302),,if('RHS INPUT'!D302=1,Concatenate("class ",'RHS INPUT'!C302),))</f>
        <v/>
      </c>
      <c r="D302" s="27" t="str">
        <f>if(ISBLANK(A302),,if('RHS INPUT'!D302=1,CONCATENATE("{quality = ",'RHS INPUT'!G302,"; price = ",Round('RHS INPUT'!M302),";};"),""))</f>
        <v/>
      </c>
      <c r="E302" t="str">
        <f>IFERROR(__xludf.DUMMYFUNCTION("if(ISBLANK(A302),, if('RHS INPUT'!E302=1,CONCATENATE(CHAR(34),To_Text('RHS INPUT'!C302),CHAR(34),CHAR(44)),""""))"),"")</f>
        <v/>
      </c>
      <c r="F302" s="28" t="str">
        <f>IF(isblank(A302) ,Concatenate("&gt; ",'RHS INPUT'!A302) , if('RHS INPUT'!F302=1,CONCATENATE(round('RHS INPUT'!N302),Char(44)," ",'RHS INPUT'!C302),""))</f>
        <v>&gt; ASSAULT_RIFLES</v>
      </c>
    </row>
    <row r="303" ht="12.0" customHeight="1">
      <c r="A303" s="1" t="str">
        <f>IFERROR(__xludf.DUMMYFUNCTION("if(ISBLANK('RHS INPUT'!C303),,CONCATENATE(CHAR(34),To_Text('RHS INPUT'!C303),CHAR(34),CHAR(44)))"),"""arifle_Katiba_C_F"",")</f>
        <v>"arifle_Katiba_C_F",</v>
      </c>
      <c r="B303" s="18" t="str">
        <f>if(isblank('RHS INPUT'!A303),,CONCATENATE("/*  ",'RHS INPUT'!A303,"  */"))</f>
        <v/>
      </c>
      <c r="C303" s="22" t="str">
        <f>if(isblank(A303),,if('RHS INPUT'!D303=1,Concatenate("class ",'RHS INPUT'!C303),))</f>
        <v>class arifle_Katiba_C_F</v>
      </c>
      <c r="D303" s="27" t="str">
        <f>if(ISBLANK(A303),,if('RHS INPUT'!D303=1,CONCATENATE("{quality = ",'RHS INPUT'!G303,"; price = ",Round('RHS INPUT'!M303),";};"),""))</f>
        <v>{quality = 1; price = 500;};</v>
      </c>
      <c r="E303" t="str">
        <f>IFERROR(__xludf.DUMMYFUNCTION("if(ISBLANK(A303),, if('RHS INPUT'!E303=1,CONCATENATE(CHAR(34),To_Text('RHS INPUT'!C303),CHAR(34),CHAR(44)),""""))"),"""arifle_Katiba_C_F"",")</f>
        <v>"arifle_Katiba_C_F",</v>
      </c>
      <c r="F303" s="28" t="str">
        <f>IF(isblank(A303) ,Concatenate("&gt; ",'RHS INPUT'!A303) , if('RHS INPUT'!F303=1,CONCATENATE(round('RHS INPUT'!N303),Char(44)," ",'RHS INPUT'!C303),""))</f>
        <v>17, arifle_Katiba_C_F</v>
      </c>
    </row>
    <row r="304" ht="12.0" customHeight="1">
      <c r="A304" s="1" t="str">
        <f>IFERROR(__xludf.DUMMYFUNCTION("if(ISBLANK('RHS INPUT'!C304),,CONCATENATE(CHAR(34),To_Text('RHS INPUT'!C304),CHAR(34),CHAR(44)))"),"""arifle_Katiba_F"",")</f>
        <v>"arifle_Katiba_F",</v>
      </c>
      <c r="B304" s="18" t="str">
        <f>if(isblank('RHS INPUT'!A304),,CONCATENATE("/*  ",'RHS INPUT'!A304,"  */"))</f>
        <v/>
      </c>
      <c r="C304" s="22" t="str">
        <f>if(isblank(A304),,if('RHS INPUT'!D304=1,Concatenate("class ",'RHS INPUT'!C304),))</f>
        <v>class arifle_Katiba_F</v>
      </c>
      <c r="D304" s="27" t="str">
        <f>if(ISBLANK(A304),,if('RHS INPUT'!D304=1,CONCATENATE("{quality = ",'RHS INPUT'!G304,"; price = ",Round('RHS INPUT'!M304),";};"),""))</f>
        <v>{quality = 1; price = 500;};</v>
      </c>
      <c r="E304" t="str">
        <f>IFERROR(__xludf.DUMMYFUNCTION("if(ISBLANK(A304),, if('RHS INPUT'!E304=1,CONCATENATE(CHAR(34),To_Text('RHS INPUT'!C304),CHAR(34),CHAR(44)),""""))"),"""arifle_Katiba_F"",")</f>
        <v>"arifle_Katiba_F",</v>
      </c>
      <c r="F304" s="28" t="str">
        <f>IF(isblank(A304) ,Concatenate("&gt; ",'RHS INPUT'!A304) , if('RHS INPUT'!F304=1,CONCATENATE(round('RHS INPUT'!N304),Char(44)," ",'RHS INPUT'!C304),""))</f>
        <v>17, arifle_Katiba_F</v>
      </c>
    </row>
    <row r="305" ht="12.0" customHeight="1">
      <c r="A305" s="1" t="str">
        <f>IFERROR(__xludf.DUMMYFUNCTION("if(ISBLANK('RHS INPUT'!C305),,CONCATENATE(CHAR(34),To_Text('RHS INPUT'!C305),CHAR(34),CHAR(44)))"),"""arifle_Katiba_GL_F"",")</f>
        <v>"arifle_Katiba_GL_F",</v>
      </c>
      <c r="B305" s="18" t="str">
        <f>if(isblank('RHS INPUT'!A305),,CONCATENATE("/*  ",'RHS INPUT'!A305,"  */"))</f>
        <v/>
      </c>
      <c r="C305" s="22" t="str">
        <f>if(isblank(A305),,if('RHS INPUT'!D305=1,Concatenate("class ",'RHS INPUT'!C305),))</f>
        <v>class arifle_Katiba_GL_F</v>
      </c>
      <c r="D305" s="27" t="str">
        <f>if(ISBLANK(A305),,if('RHS INPUT'!D305=1,CONCATENATE("{quality = ",'RHS INPUT'!G305,"; price = ",Round('RHS INPUT'!M305),";};"),""))</f>
        <v>{quality = 1; price = 650;};</v>
      </c>
      <c r="E305" t="str">
        <f>IFERROR(__xludf.DUMMYFUNCTION("if(ISBLANK(A305),, if('RHS INPUT'!E305=1,CONCATENATE(CHAR(34),To_Text('RHS INPUT'!C305),CHAR(34),CHAR(44)),""""))"),"""arifle_Katiba_GL_F"",")</f>
        <v>"arifle_Katiba_GL_F",</v>
      </c>
      <c r="F305" s="28" t="str">
        <f>IF(isblank(A305) ,Concatenate("&gt; ",'RHS INPUT'!A305) , if('RHS INPUT'!F305=1,CONCATENATE(round('RHS INPUT'!N305),Char(44)," ",'RHS INPUT'!C305),""))</f>
        <v>13, arifle_Katiba_GL_F</v>
      </c>
    </row>
    <row r="306" ht="12.0" customHeight="1">
      <c r="A306" s="1" t="str">
        <f>IFERROR(__xludf.DUMMYFUNCTION("if(ISBLANK('RHS INPUT'!C306),,CONCATENATE(CHAR(34),To_Text('RHS INPUT'!C306),CHAR(34),CHAR(44)))"),"""arifle_Mk20_F"",")</f>
        <v>"arifle_Mk20_F",</v>
      </c>
      <c r="B306" s="18" t="str">
        <f>if(isblank('RHS INPUT'!A306),,CONCATENATE("/*  ",'RHS INPUT'!A306,"  */"))</f>
        <v/>
      </c>
      <c r="C306" s="22" t="str">
        <f>if(isblank(A306),,if('RHS INPUT'!D306=1,Concatenate("class ",'RHS INPUT'!C306),))</f>
        <v>class arifle_Mk20_F</v>
      </c>
      <c r="D306" s="27" t="str">
        <f>if(ISBLANK(A306),,if('RHS INPUT'!D306=1,CONCATENATE("{quality = ",'RHS INPUT'!G306,"; price = ",Round('RHS INPUT'!M306),";};"),""))</f>
        <v>{quality = 1; price = 300;};</v>
      </c>
      <c r="E306" t="str">
        <f>IFERROR(__xludf.DUMMYFUNCTION("if(ISBLANK(A306),, if('RHS INPUT'!E306=1,CONCATENATE(CHAR(34),To_Text('RHS INPUT'!C306),CHAR(34),CHAR(44)),""""))"),"""arifle_Mk20_F"",")</f>
        <v>"arifle_Mk20_F",</v>
      </c>
      <c r="F306" s="28" t="str">
        <f>IF(isblank(A306) ,Concatenate("&gt; ",'RHS INPUT'!A306) , if('RHS INPUT'!F306=1,CONCATENATE(round('RHS INPUT'!N306),Char(44)," ",'RHS INPUT'!C306),""))</f>
        <v>25, arifle_Mk20_F</v>
      </c>
    </row>
    <row r="307" ht="12.0" customHeight="1">
      <c r="A307" s="1" t="str">
        <f>IFERROR(__xludf.DUMMYFUNCTION("if(ISBLANK('RHS INPUT'!C307),,CONCATENATE(CHAR(34),To_Text('RHS INPUT'!C307),CHAR(34),CHAR(44)))"),"""arifle_Mk20_GL_F"",")</f>
        <v>"arifle_Mk20_GL_F",</v>
      </c>
      <c r="B307" s="18" t="str">
        <f>if(isblank('RHS INPUT'!A307),,CONCATENATE("/*  ",'RHS INPUT'!A307,"  */"))</f>
        <v/>
      </c>
      <c r="C307" s="22" t="str">
        <f>if(isblank(A307),,if('RHS INPUT'!D307=1,Concatenate("class ",'RHS INPUT'!C307),))</f>
        <v>class arifle_Mk20_GL_F</v>
      </c>
      <c r="D307" s="27" t="str">
        <f>if(ISBLANK(A307),,if('RHS INPUT'!D307=1,CONCATENATE("{quality = ",'RHS INPUT'!G307,"; price = ",Round('RHS INPUT'!M307),";};"),""))</f>
        <v>{quality = 1; price = 450;};</v>
      </c>
      <c r="E307" t="str">
        <f>IFERROR(__xludf.DUMMYFUNCTION("if(ISBLANK(A307),, if('RHS INPUT'!E307=1,CONCATENATE(CHAR(34),To_Text('RHS INPUT'!C307),CHAR(34),CHAR(44)),""""))"),"""arifle_Mk20_GL_F"",")</f>
        <v>"arifle_Mk20_GL_F",</v>
      </c>
      <c r="F307" s="28" t="str">
        <f>IF(isblank(A307) ,Concatenate("&gt; ",'RHS INPUT'!A307) , if('RHS INPUT'!F307=1,CONCATENATE(round('RHS INPUT'!N307),Char(44)," ",'RHS INPUT'!C307),""))</f>
        <v>18, arifle_Mk20_GL_F</v>
      </c>
    </row>
    <row r="308" ht="12.0" customHeight="1">
      <c r="A308" s="1" t="str">
        <f>IFERROR(__xludf.DUMMYFUNCTION("if(ISBLANK('RHS INPUT'!C308),,CONCATENATE(CHAR(34),To_Text('RHS INPUT'!C308),CHAR(34),CHAR(44)))"),"""arifle_Mk20_GL_plain_F"",")</f>
        <v>"arifle_Mk20_GL_plain_F",</v>
      </c>
      <c r="B308" s="18" t="str">
        <f>if(isblank('RHS INPUT'!A308),,CONCATENATE("/*  ",'RHS INPUT'!A308,"  */"))</f>
        <v/>
      </c>
      <c r="C308" s="22" t="str">
        <f>if(isblank(A308),,if('RHS INPUT'!D308=1,Concatenate("class ",'RHS INPUT'!C308),))</f>
        <v>class arifle_Mk20_GL_plain_F</v>
      </c>
      <c r="D308" s="27" t="str">
        <f>if(ISBLANK(A308),,if('RHS INPUT'!D308=1,CONCATENATE("{quality = ",'RHS INPUT'!G308,"; price = ",Round('RHS INPUT'!M308),";};"),""))</f>
        <v>{quality = 1; price = 450;};</v>
      </c>
      <c r="E308" t="str">
        <f>IFERROR(__xludf.DUMMYFUNCTION("if(ISBLANK(A308),, if('RHS INPUT'!E308=1,CONCATENATE(CHAR(34),To_Text('RHS INPUT'!C308),CHAR(34),CHAR(44)),""""))"),"""arifle_Mk20_GL_plain_F"",")</f>
        <v>"arifle_Mk20_GL_plain_F",</v>
      </c>
      <c r="F308" s="28" t="str">
        <f>IF(isblank(A308) ,Concatenate("&gt; ",'RHS INPUT'!A308) , if('RHS INPUT'!F308=1,CONCATENATE(round('RHS INPUT'!N308),Char(44)," ",'RHS INPUT'!C308),""))</f>
        <v>18, arifle_Mk20_GL_plain_F</v>
      </c>
    </row>
    <row r="309" ht="12.0" customHeight="1">
      <c r="A309" s="1" t="str">
        <f>IFERROR(__xludf.DUMMYFUNCTION("if(ISBLANK('RHS INPUT'!C309),,CONCATENATE(CHAR(34),To_Text('RHS INPUT'!C309),CHAR(34),CHAR(44)))"),"""arifle_Mk20_plain_F"",")</f>
        <v>"arifle_Mk20_plain_F",</v>
      </c>
      <c r="B309" s="18" t="str">
        <f>if(isblank('RHS INPUT'!A309),,CONCATENATE("/*  ",'RHS INPUT'!A309,"  */"))</f>
        <v/>
      </c>
      <c r="C309" s="22" t="str">
        <f>if(isblank(A309),,if('RHS INPUT'!D309=1,Concatenate("class ",'RHS INPUT'!C309),))</f>
        <v>class arifle_Mk20_plain_F</v>
      </c>
      <c r="D309" s="27" t="str">
        <f>if(ISBLANK(A309),,if('RHS INPUT'!D309=1,CONCATENATE("{quality = ",'RHS INPUT'!G309,"; price = ",Round('RHS INPUT'!M309),";};"),""))</f>
        <v>{quality = 1; price = 300;};</v>
      </c>
      <c r="E309" t="str">
        <f>IFERROR(__xludf.DUMMYFUNCTION("if(ISBLANK(A309),, if('RHS INPUT'!E309=1,CONCATENATE(CHAR(34),To_Text('RHS INPUT'!C309),CHAR(34),CHAR(44)),""""))"),"""arifle_Mk20_plain_F"",")</f>
        <v>"arifle_Mk20_plain_F",</v>
      </c>
      <c r="F309" s="28" t="str">
        <f>IF(isblank(A309) ,Concatenate("&gt; ",'RHS INPUT'!A309) , if('RHS INPUT'!F309=1,CONCATENATE(round('RHS INPUT'!N309),Char(44)," ",'RHS INPUT'!C309),""))</f>
        <v>25, arifle_Mk20_plain_F</v>
      </c>
    </row>
    <row r="310" ht="12.0" customHeight="1">
      <c r="A310" s="1" t="str">
        <f>IFERROR(__xludf.DUMMYFUNCTION("if(ISBLANK('RHS INPUT'!C310),,CONCATENATE(CHAR(34),To_Text('RHS INPUT'!C310),CHAR(34),CHAR(44)))"),"""arifle_Mk20C_F"",")</f>
        <v>"arifle_Mk20C_F",</v>
      </c>
      <c r="B310" s="18" t="str">
        <f>if(isblank('RHS INPUT'!A310),,CONCATENATE("/*  ",'RHS INPUT'!A310,"  */"))</f>
        <v/>
      </c>
      <c r="C310" s="22" t="str">
        <f>if(isblank(A310),,if('RHS INPUT'!D310=1,Concatenate("class ",'RHS INPUT'!C310),))</f>
        <v>class arifle_Mk20C_F</v>
      </c>
      <c r="D310" s="27" t="str">
        <f>if(ISBLANK(A310),,if('RHS INPUT'!D310=1,CONCATENATE("{quality = ",'RHS INPUT'!G310,"; price = ",Round('RHS INPUT'!M310),";};"),""))</f>
        <v>{quality = 1; price = 300;};</v>
      </c>
      <c r="E310" t="str">
        <f>IFERROR(__xludf.DUMMYFUNCTION("if(ISBLANK(A310),, if('RHS INPUT'!E310=1,CONCATENATE(CHAR(34),To_Text('RHS INPUT'!C310),CHAR(34),CHAR(44)),""""))"),"""arifle_Mk20C_F"",")</f>
        <v>"arifle_Mk20C_F",</v>
      </c>
      <c r="F310" s="28" t="str">
        <f>IF(isblank(A310) ,Concatenate("&gt; ",'RHS INPUT'!A310) , if('RHS INPUT'!F310=1,CONCATENATE(round('RHS INPUT'!N310),Char(44)," ",'RHS INPUT'!C310),""))</f>
        <v>25, arifle_Mk20C_F</v>
      </c>
    </row>
    <row r="311" ht="12.0" customHeight="1">
      <c r="A311" s="1" t="str">
        <f>IFERROR(__xludf.DUMMYFUNCTION("if(ISBLANK('RHS INPUT'!C311),,CONCATENATE(CHAR(34),To_Text('RHS INPUT'!C311),CHAR(34),CHAR(44)))"),"""arifle_Mk20C_plain_F"",")</f>
        <v>"arifle_Mk20C_plain_F",</v>
      </c>
      <c r="B311" s="18" t="str">
        <f>if(isblank('RHS INPUT'!A311),,CONCATENATE("/*  ",'RHS INPUT'!A311,"  */"))</f>
        <v/>
      </c>
      <c r="C311" s="22" t="str">
        <f>if(isblank(A311),,if('RHS INPUT'!D311=1,Concatenate("class ",'RHS INPUT'!C311),))</f>
        <v>class arifle_Mk20C_plain_F</v>
      </c>
      <c r="D311" s="27" t="str">
        <f>if(ISBLANK(A311),,if('RHS INPUT'!D311=1,CONCATENATE("{quality = ",'RHS INPUT'!G311,"; price = ",Round('RHS INPUT'!M311),";};"),""))</f>
        <v>{quality = 1; price = 300;};</v>
      </c>
      <c r="E311" t="str">
        <f>IFERROR(__xludf.DUMMYFUNCTION("if(ISBLANK(A311),, if('RHS INPUT'!E311=1,CONCATENATE(CHAR(34),To_Text('RHS INPUT'!C311),CHAR(34),CHAR(44)),""""))"),"""arifle_Mk20C_plain_F"",")</f>
        <v>"arifle_Mk20C_plain_F",</v>
      </c>
      <c r="F311" s="28" t="str">
        <f>IF(isblank(A311) ,Concatenate("&gt; ",'RHS INPUT'!A311) , if('RHS INPUT'!F311=1,CONCATENATE(round('RHS INPUT'!N311),Char(44)," ",'RHS INPUT'!C311),""))</f>
        <v>25, arifle_Mk20C_plain_F</v>
      </c>
    </row>
    <row r="312" ht="12.0" customHeight="1">
      <c r="A312" s="1" t="str">
        <f>IFERROR(__xludf.DUMMYFUNCTION("if(ISBLANK('RHS INPUT'!C312),,CONCATENATE(CHAR(34),To_Text('RHS INPUT'!C312),CHAR(34),CHAR(44)))"),"""arifle_MX_Black_F"",")</f>
        <v>"arifle_MX_Black_F",</v>
      </c>
      <c r="B312" s="18" t="str">
        <f>if(isblank('RHS INPUT'!A312),,CONCATENATE("/*  ",'RHS INPUT'!A312,"  */"))</f>
        <v/>
      </c>
      <c r="C312" s="22" t="str">
        <f>if(isblank(A312),,if('RHS INPUT'!D312=1,Concatenate("class ",'RHS INPUT'!C312),))</f>
        <v>class arifle_MX_Black_F</v>
      </c>
      <c r="D312" s="27" t="str">
        <f>if(ISBLANK(A312),,if('RHS INPUT'!D312=1,CONCATENATE("{quality = ",'RHS INPUT'!G312,"; price = ",Round('RHS INPUT'!M312),";};"),""))</f>
        <v>{quality = 2; price = 800;};</v>
      </c>
      <c r="E312" t="str">
        <f>IFERROR(__xludf.DUMMYFUNCTION("if(ISBLANK(A312),, if('RHS INPUT'!E312=1,CONCATENATE(CHAR(34),To_Text('RHS INPUT'!C312),CHAR(34),CHAR(44)),""""))"),"""arifle_MX_Black_F"",")</f>
        <v>"arifle_MX_Black_F",</v>
      </c>
      <c r="F312" s="28" t="str">
        <f>IF(isblank(A312) ,Concatenate("&gt; ",'RHS INPUT'!A312) , if('RHS INPUT'!F312=1,CONCATENATE(round('RHS INPUT'!N312),Char(44)," ",'RHS INPUT'!C312),""))</f>
        <v>11, arifle_MX_Black_F</v>
      </c>
    </row>
    <row r="313" ht="12.0" customHeight="1">
      <c r="A313" s="1" t="str">
        <f>IFERROR(__xludf.DUMMYFUNCTION("if(ISBLANK('RHS INPUT'!C313),,CONCATENATE(CHAR(34),To_Text('RHS INPUT'!C313),CHAR(34),CHAR(44)))"),"""arifle_MX_F"",")</f>
        <v>"arifle_MX_F",</v>
      </c>
      <c r="B313" s="18" t="str">
        <f>if(isblank('RHS INPUT'!A313),,CONCATENATE("/*  ",'RHS INPUT'!A313,"  */"))</f>
        <v/>
      </c>
      <c r="C313" s="22" t="str">
        <f>if(isblank(A313),,if('RHS INPUT'!D313=1,Concatenate("class ",'RHS INPUT'!C313),))</f>
        <v>class arifle_MX_F</v>
      </c>
      <c r="D313" s="27" t="str">
        <f>if(ISBLANK(A313),,if('RHS INPUT'!D313=1,CONCATENATE("{quality = ",'RHS INPUT'!G313,"; price = ",Round('RHS INPUT'!M313),";};"),""))</f>
        <v>{quality = 2; price = 800;};</v>
      </c>
      <c r="E313" t="str">
        <f>IFERROR(__xludf.DUMMYFUNCTION("if(ISBLANK(A313),, if('RHS INPUT'!E313=1,CONCATENATE(CHAR(34),To_Text('RHS INPUT'!C313),CHAR(34),CHAR(44)),""""))"),"""arifle_MX_F"",")</f>
        <v>"arifle_MX_F",</v>
      </c>
      <c r="F313" s="28" t="str">
        <f>IF(isblank(A313) ,Concatenate("&gt; ",'RHS INPUT'!A313) , if('RHS INPUT'!F313=1,CONCATENATE(round('RHS INPUT'!N313),Char(44)," ",'RHS INPUT'!C313),""))</f>
        <v>11, arifle_MX_F</v>
      </c>
    </row>
    <row r="314" ht="12.0" customHeight="1">
      <c r="A314" s="1" t="str">
        <f>IFERROR(__xludf.DUMMYFUNCTION("if(ISBLANK('RHS INPUT'!C314),,CONCATENATE(CHAR(34),To_Text('RHS INPUT'!C314),CHAR(34),CHAR(44)))"),"""arifle_MX_GL_Black_F"",")</f>
        <v>"arifle_MX_GL_Black_F",</v>
      </c>
      <c r="B314" s="18" t="str">
        <f>if(isblank('RHS INPUT'!A314),,CONCATENATE("/*  ",'RHS INPUT'!A314,"  */"))</f>
        <v/>
      </c>
      <c r="C314" s="22" t="str">
        <f>if(isblank(A314),,if('RHS INPUT'!D314=1,Concatenate("class ",'RHS INPUT'!C314),))</f>
        <v>class arifle_MX_GL_Black_F</v>
      </c>
      <c r="D314" s="27" t="str">
        <f>if(ISBLANK(A314),,if('RHS INPUT'!D314=1,CONCATENATE("{quality = ",'RHS INPUT'!G314,"; price = ",Round('RHS INPUT'!M314),";};"),""))</f>
        <v>{quality = 2; price = 950;};</v>
      </c>
      <c r="E314" t="str">
        <f>IFERROR(__xludf.DUMMYFUNCTION("if(ISBLANK(A314),, if('RHS INPUT'!E314=1,CONCATENATE(CHAR(34),To_Text('RHS INPUT'!C314),CHAR(34),CHAR(44)),""""))"),"""arifle_MX_GL_Black_F"",")</f>
        <v>"arifle_MX_GL_Black_F",</v>
      </c>
      <c r="F314" s="28" t="str">
        <f>IF(isblank(A314) ,Concatenate("&gt; ",'RHS INPUT'!A314) , if('RHS INPUT'!F314=1,CONCATENATE(round('RHS INPUT'!N314),Char(44)," ",'RHS INPUT'!C314),""))</f>
        <v>10, arifle_MX_GL_Black_F</v>
      </c>
    </row>
    <row r="315" ht="12.0" customHeight="1">
      <c r="A315" s="1" t="str">
        <f>IFERROR(__xludf.DUMMYFUNCTION("if(ISBLANK('RHS INPUT'!C315),,CONCATENATE(CHAR(34),To_Text('RHS INPUT'!C315),CHAR(34),CHAR(44)))"),"""arifle_MX_GL_F"",")</f>
        <v>"arifle_MX_GL_F",</v>
      </c>
      <c r="B315" s="18" t="str">
        <f>if(isblank('RHS INPUT'!A315),,CONCATENATE("/*  ",'RHS INPUT'!A315,"  */"))</f>
        <v/>
      </c>
      <c r="C315" s="22" t="str">
        <f>if(isblank(A315),,if('RHS INPUT'!D315=1,Concatenate("class ",'RHS INPUT'!C315),))</f>
        <v>class arifle_MX_GL_F</v>
      </c>
      <c r="D315" s="27" t="str">
        <f>if(ISBLANK(A315),,if('RHS INPUT'!D315=1,CONCATENATE("{quality = ",'RHS INPUT'!G315,"; price = ",Round('RHS INPUT'!M315),";};"),""))</f>
        <v>{quality = 2; price = 950;};</v>
      </c>
      <c r="E315" t="str">
        <f>IFERROR(__xludf.DUMMYFUNCTION("if(ISBLANK(A315),, if('RHS INPUT'!E315=1,CONCATENATE(CHAR(34),To_Text('RHS INPUT'!C315),CHAR(34),CHAR(44)),""""))"),"""arifle_MX_GL_F"",")</f>
        <v>"arifle_MX_GL_F",</v>
      </c>
      <c r="F315" s="28" t="str">
        <f>IF(isblank(A315) ,Concatenate("&gt; ",'RHS INPUT'!A315) , if('RHS INPUT'!F315=1,CONCATENATE(round('RHS INPUT'!N315),Char(44)," ",'RHS INPUT'!C315),""))</f>
        <v>10, arifle_MX_GL_F</v>
      </c>
    </row>
    <row r="316" ht="12.0" customHeight="1">
      <c r="A316" s="1" t="str">
        <f>IFERROR(__xludf.DUMMYFUNCTION("if(ISBLANK('RHS INPUT'!C316),,CONCATENATE(CHAR(34),To_Text('RHS INPUT'!C316),CHAR(34),CHAR(44)))"),"""arifle_MXC_Black_F"",")</f>
        <v>"arifle_MXC_Black_F",</v>
      </c>
      <c r="B316" s="18" t="str">
        <f>if(isblank('RHS INPUT'!A316),,CONCATENATE("/*  ",'RHS INPUT'!A316,"  */"))</f>
        <v/>
      </c>
      <c r="C316" s="22" t="str">
        <f>if(isblank(A316),,if('RHS INPUT'!D316=1,Concatenate("class ",'RHS INPUT'!C316),))</f>
        <v>class arifle_MXC_Black_F</v>
      </c>
      <c r="D316" s="27" t="str">
        <f>if(ISBLANK(A316),,if('RHS INPUT'!D316=1,CONCATENATE("{quality = ",'RHS INPUT'!G316,"; price = ",Round('RHS INPUT'!M316),";};"),""))</f>
        <v>{quality = 2; price = 800;};</v>
      </c>
      <c r="E316" t="str">
        <f>IFERROR(__xludf.DUMMYFUNCTION("if(ISBLANK(A316),, if('RHS INPUT'!E316=1,CONCATENATE(CHAR(34),To_Text('RHS INPUT'!C316),CHAR(34),CHAR(44)),""""))"),"""arifle_MXC_Black_F"",")</f>
        <v>"arifle_MXC_Black_F",</v>
      </c>
      <c r="F316" s="28" t="str">
        <f>IF(isblank(A316) ,Concatenate("&gt; ",'RHS INPUT'!A316) , if('RHS INPUT'!F316=1,CONCATENATE(round('RHS INPUT'!N316),Char(44)," ",'RHS INPUT'!C316),""))</f>
        <v>11, arifle_MXC_Black_F</v>
      </c>
    </row>
    <row r="317" ht="12.0" customHeight="1">
      <c r="A317" s="1" t="str">
        <f>IFERROR(__xludf.DUMMYFUNCTION("if(ISBLANK('RHS INPUT'!C317),,CONCATENATE(CHAR(34),To_Text('RHS INPUT'!C317),CHAR(34),CHAR(44)))"),"""arifle_MXC_F"",")</f>
        <v>"arifle_MXC_F",</v>
      </c>
      <c r="B317" s="18" t="str">
        <f>if(isblank('RHS INPUT'!A317),,CONCATENATE("/*  ",'RHS INPUT'!A317,"  */"))</f>
        <v/>
      </c>
      <c r="C317" s="22" t="str">
        <f>if(isblank(A317),,if('RHS INPUT'!D317=1,Concatenate("class ",'RHS INPUT'!C317),))</f>
        <v>class arifle_MXC_F</v>
      </c>
      <c r="D317" s="27" t="str">
        <f>if(ISBLANK(A317),,if('RHS INPUT'!D317=1,CONCATENATE("{quality = ",'RHS INPUT'!G317,"; price = ",Round('RHS INPUT'!M317),";};"),""))</f>
        <v>{quality = 2; price = 800;};</v>
      </c>
      <c r="E317" t="str">
        <f>IFERROR(__xludf.DUMMYFUNCTION("if(ISBLANK(A317),, if('RHS INPUT'!E317=1,CONCATENATE(CHAR(34),To_Text('RHS INPUT'!C317),CHAR(34),CHAR(44)),""""))"),"""arifle_MXC_F"",")</f>
        <v>"arifle_MXC_F",</v>
      </c>
      <c r="F317" s="28" t="str">
        <f>IF(isblank(A317) ,Concatenate("&gt; ",'RHS INPUT'!A317) , if('RHS INPUT'!F317=1,CONCATENATE(round('RHS INPUT'!N317),Char(44)," ",'RHS INPUT'!C317),""))</f>
        <v>11, arifle_MXC_F</v>
      </c>
    </row>
    <row r="318" ht="12.0" customHeight="1">
      <c r="A318" s="1" t="str">
        <f>IFERROR(__xludf.DUMMYFUNCTION("if(ISBLANK('RHS INPUT'!C318),,CONCATENATE(CHAR(34),To_Text('RHS INPUT'!C318),CHAR(34),CHAR(44)))"),"""arifle_SDAR_F"",")</f>
        <v>"arifle_SDAR_F",</v>
      </c>
      <c r="B318" s="18" t="str">
        <f>if(isblank('RHS INPUT'!A318),,CONCATENATE("/*  ",'RHS INPUT'!A318,"  */"))</f>
        <v/>
      </c>
      <c r="C318" s="22" t="str">
        <f>if(isblank(A318),,if('RHS INPUT'!D318=1,Concatenate("class ",'RHS INPUT'!C318),))</f>
        <v>class arifle_SDAR_F</v>
      </c>
      <c r="D318" s="27" t="str">
        <f>if(ISBLANK(A318),,if('RHS INPUT'!D318=1,CONCATENATE("{quality = ",'RHS INPUT'!G318,"; price = ",Round('RHS INPUT'!M318),";};"),""))</f>
        <v>{quality = 3; price = 1800;};</v>
      </c>
      <c r="E318" t="str">
        <f>IFERROR(__xludf.DUMMYFUNCTION("if(ISBLANK(A318),, if('RHS INPUT'!E318=1,CONCATENATE(CHAR(34),To_Text('RHS INPUT'!C318),CHAR(34),CHAR(44)),""""))"),"""arifle_SDAR_F"",")</f>
        <v>"arifle_SDAR_F",</v>
      </c>
      <c r="F318" s="28" t="str">
        <f>IF(isblank(A318) ,Concatenate("&gt; ",'RHS INPUT'!A318) , if('RHS INPUT'!F318=1,CONCATENATE(round('RHS INPUT'!N318),Char(44)," ",'RHS INPUT'!C318),""))</f>
        <v>5, arifle_SDAR_F</v>
      </c>
    </row>
    <row r="319" ht="12.0" customHeight="1">
      <c r="A319" s="1" t="str">
        <f>IFERROR(__xludf.DUMMYFUNCTION("if(ISBLANK('RHS INPUT'!C319),,CONCATENATE(CHAR(34),To_Text('RHS INPUT'!C319),CHAR(34),CHAR(44)))"),"""arifle_TRG20_F"",")</f>
        <v>"arifle_TRG20_F",</v>
      </c>
      <c r="B319" s="18" t="str">
        <f>if(isblank('RHS INPUT'!A319),,CONCATENATE("/*  ",'RHS INPUT'!A319,"  */"))</f>
        <v/>
      </c>
      <c r="C319" s="22" t="str">
        <f>if(isblank(A319),,if('RHS INPUT'!D319=1,Concatenate("class ",'RHS INPUT'!C319),))</f>
        <v>class arifle_TRG20_F</v>
      </c>
      <c r="D319" s="27" t="str">
        <f>if(ISBLANK(A319),,if('RHS INPUT'!D319=1,CONCATENATE("{quality = ",'RHS INPUT'!G319,"; price = ",Round('RHS INPUT'!M319),";};"),""))</f>
        <v>{quality = 1; price = 300;};</v>
      </c>
      <c r="E319" t="str">
        <f>IFERROR(__xludf.DUMMYFUNCTION("if(ISBLANK(A319),, if('RHS INPUT'!E319=1,CONCATENATE(CHAR(34),To_Text('RHS INPUT'!C319),CHAR(34),CHAR(44)),""""))"),"""arifle_TRG20_F"",")</f>
        <v>"arifle_TRG20_F",</v>
      </c>
      <c r="F319" s="28" t="str">
        <f>IF(isblank(A319) ,Concatenate("&gt; ",'RHS INPUT'!A319) , if('RHS INPUT'!F319=1,CONCATENATE(round('RHS INPUT'!N319),Char(44)," ",'RHS INPUT'!C319),""))</f>
        <v>25, arifle_TRG20_F</v>
      </c>
    </row>
    <row r="320" ht="12.0" customHeight="1">
      <c r="A320" s="1" t="str">
        <f>IFERROR(__xludf.DUMMYFUNCTION("if(ISBLANK('RHS INPUT'!C320),,CONCATENATE(CHAR(34),To_Text('RHS INPUT'!C320),CHAR(34),CHAR(44)))"),"""arifle_TRG21_F"",")</f>
        <v>"arifle_TRG21_F",</v>
      </c>
      <c r="B320" s="18" t="str">
        <f>if(isblank('RHS INPUT'!A320),,CONCATENATE("/*  ",'RHS INPUT'!A320,"  */"))</f>
        <v/>
      </c>
      <c r="C320" s="22" t="str">
        <f>if(isblank(A320),,if('RHS INPUT'!D320=1,Concatenate("class ",'RHS INPUT'!C320),))</f>
        <v>class arifle_TRG21_F</v>
      </c>
      <c r="D320" s="27" t="str">
        <f>if(ISBLANK(A320),,if('RHS INPUT'!D320=1,CONCATENATE("{quality = ",'RHS INPUT'!G320,"; price = ",Round('RHS INPUT'!M320),";};"),""))</f>
        <v>{quality = 1; price = 350;};</v>
      </c>
      <c r="E320" t="str">
        <f>IFERROR(__xludf.DUMMYFUNCTION("if(ISBLANK(A320),, if('RHS INPUT'!E320=1,CONCATENATE(CHAR(34),To_Text('RHS INPUT'!C320),CHAR(34),CHAR(44)),""""))"),"""arifle_TRG21_F"",")</f>
        <v>"arifle_TRG21_F",</v>
      </c>
      <c r="F320" s="28" t="str">
        <f>IF(isblank(A320) ,Concatenate("&gt; ",'RHS INPUT'!A320) , if('RHS INPUT'!F320=1,CONCATENATE(round('RHS INPUT'!N320),Char(44)," ",'RHS INPUT'!C320),""))</f>
        <v>22, arifle_TRG21_F</v>
      </c>
    </row>
    <row r="321" ht="12.0" customHeight="1">
      <c r="A321" s="1" t="str">
        <f>IFERROR(__xludf.DUMMYFUNCTION("if(ISBLANK('RHS INPUT'!C321),,CONCATENATE(CHAR(34),To_Text('RHS INPUT'!C321),CHAR(34),CHAR(44)))"),"""arifle_TRG21_GL_F"",")</f>
        <v>"arifle_TRG21_GL_F",</v>
      </c>
      <c r="B321" s="18" t="str">
        <f>if(isblank('RHS INPUT'!A321),,CONCATENATE("/*  ",'RHS INPUT'!A321,"  */"))</f>
        <v/>
      </c>
      <c r="C321" s="22" t="str">
        <f>if(isblank(A321),,if('RHS INPUT'!D321=1,Concatenate("class ",'RHS INPUT'!C321),))</f>
        <v>class arifle_TRG21_GL_F</v>
      </c>
      <c r="D321" s="27" t="str">
        <f>if(ISBLANK(A321),,if('RHS INPUT'!D321=1,CONCATENATE("{quality = ",'RHS INPUT'!G321,"; price = ",Round('RHS INPUT'!M321),";};"),""))</f>
        <v>{quality = 1; price = 500;};</v>
      </c>
      <c r="E321" t="str">
        <f>IFERROR(__xludf.DUMMYFUNCTION("if(ISBLANK(A321),, if('RHS INPUT'!E321=1,CONCATENATE(CHAR(34),To_Text('RHS INPUT'!C321),CHAR(34),CHAR(44)),""""))"),"""arifle_TRG21_GL_F"",")</f>
        <v>"arifle_TRG21_GL_F",</v>
      </c>
      <c r="F321" s="28" t="str">
        <f>IF(isblank(A321) ,Concatenate("&gt; ",'RHS INPUT'!A321) , if('RHS INPUT'!F321=1,CONCATENATE(round('RHS INPUT'!N321),Char(44)," ",'RHS INPUT'!C321),""))</f>
        <v>17, arifle_TRG21_GL_F</v>
      </c>
    </row>
    <row r="322" ht="12.0" customHeight="1">
      <c r="A322" s="1" t="str">
        <f>IFERROR(__xludf.DUMMYFUNCTION("if(ISBLANK('RHS INPUT'!C322),,CONCATENATE(CHAR(34),To_Text('RHS INPUT'!C322),CHAR(34),CHAR(44)))"),"""rhs_weap_ak103"",")</f>
        <v>"rhs_weap_ak103",</v>
      </c>
      <c r="B322" s="18" t="str">
        <f>if(isblank('RHS INPUT'!A322),,CONCATENATE("/*  ",'RHS INPUT'!A322,"  */"))</f>
        <v/>
      </c>
      <c r="C322" s="22" t="str">
        <f>if(isblank(A322),,if('RHS INPUT'!D322=1,Concatenate("class ",'RHS INPUT'!C322),))</f>
        <v>class rhs_weap_ak103</v>
      </c>
      <c r="D322" s="27" t="str">
        <f>if(ISBLANK(A322),,if('RHS INPUT'!D322=1,CONCATENATE("{quality = ",'RHS INPUT'!G322,"; price = ",Round('RHS INPUT'!M322),";};"),""))</f>
        <v>{quality = 2; price = 800;};</v>
      </c>
      <c r="E322" t="str">
        <f>IFERROR(__xludf.DUMMYFUNCTION("if(ISBLANK(A322),, if('RHS INPUT'!E322=1,CONCATENATE(CHAR(34),To_Text('RHS INPUT'!C322),CHAR(34),CHAR(44)),""""))"),"""rhs_weap_ak103"",")</f>
        <v>"rhs_weap_ak103",</v>
      </c>
      <c r="F322" s="28" t="str">
        <f>IF(isblank(A322) ,Concatenate("&gt; ",'RHS INPUT'!A322) , if('RHS INPUT'!F322=1,CONCATENATE(round('RHS INPUT'!N322),Char(44)," ",'RHS INPUT'!C322),""))</f>
        <v>11, rhs_weap_ak103</v>
      </c>
    </row>
    <row r="323" ht="12.0" customHeight="1">
      <c r="A323" s="1" t="str">
        <f>IFERROR(__xludf.DUMMYFUNCTION("if(ISBLANK('RHS INPUT'!C323),,CONCATENATE(CHAR(34),To_Text('RHS INPUT'!C323),CHAR(34),CHAR(44)))"),"""rhs_weap_ak103_npz"",")</f>
        <v>"rhs_weap_ak103_npz",</v>
      </c>
      <c r="B323" s="18" t="str">
        <f>if(isblank('RHS INPUT'!A323),,CONCATENATE("/*  ",'RHS INPUT'!A323,"  */"))</f>
        <v/>
      </c>
      <c r="C323" s="22" t="str">
        <f>if(isblank(A323),,if('RHS INPUT'!D323=1,Concatenate("class ",'RHS INPUT'!C323),))</f>
        <v>class rhs_weap_ak103_npz</v>
      </c>
      <c r="D323" s="27" t="str">
        <f>if(ISBLANK(A323),,if('RHS INPUT'!D323=1,CONCATENATE("{quality = ",'RHS INPUT'!G323,"; price = ",Round('RHS INPUT'!M323),";};"),""))</f>
        <v>{quality = 2; price = 900;};</v>
      </c>
      <c r="E323" t="str">
        <f>IFERROR(__xludf.DUMMYFUNCTION("if(ISBLANK(A323),, if('RHS INPUT'!E323=1,CONCATENATE(CHAR(34),To_Text('RHS INPUT'!C323),CHAR(34),CHAR(44)),""""))"),"""rhs_weap_ak103_npz"",")</f>
        <v>"rhs_weap_ak103_npz",</v>
      </c>
      <c r="F323" s="28" t="str">
        <f>IF(isblank(A323) ,Concatenate("&gt; ",'RHS INPUT'!A323) , if('RHS INPUT'!F323=1,CONCATENATE(round('RHS INPUT'!N323),Char(44)," ",'RHS INPUT'!C323),""))</f>
        <v>10, rhs_weap_ak103_npz</v>
      </c>
    </row>
    <row r="324" ht="12.0" customHeight="1">
      <c r="A324" s="1" t="str">
        <f>IFERROR(__xludf.DUMMYFUNCTION("if(ISBLANK('RHS INPUT'!C324),,CONCATENATE(CHAR(34),To_Text('RHS INPUT'!C324),CHAR(34),CHAR(44)))"),"""rhs_weap_ak74m"",")</f>
        <v>"rhs_weap_ak74m",</v>
      </c>
      <c r="B324" s="18" t="str">
        <f>if(isblank('RHS INPUT'!A324),,CONCATENATE("/*  ",'RHS INPUT'!A324,"  */"))</f>
        <v/>
      </c>
      <c r="C324" s="22" t="str">
        <f>if(isblank(A324),,if('RHS INPUT'!D324=1,Concatenate("class ",'RHS INPUT'!C324),))</f>
        <v>class rhs_weap_ak74m</v>
      </c>
      <c r="D324" s="27" t="str">
        <f>if(ISBLANK(A324),,if('RHS INPUT'!D324=1,CONCATENATE("{quality = ",'RHS INPUT'!G324,"; price = ",Round('RHS INPUT'!M324),";};"),""))</f>
        <v>{quality = 1; price = 250;};</v>
      </c>
      <c r="E324" t="str">
        <f>IFERROR(__xludf.DUMMYFUNCTION("if(ISBLANK(A324),, if('RHS INPUT'!E324=1,CONCATENATE(CHAR(34),To_Text('RHS INPUT'!C324),CHAR(34),CHAR(44)),""""))"),"""rhs_weap_ak74m"",")</f>
        <v>"rhs_weap_ak74m",</v>
      </c>
      <c r="F324" s="28" t="str">
        <f>IF(isblank(A324) ,Concatenate("&gt; ",'RHS INPUT'!A324) , if('RHS INPUT'!F324=1,CONCATENATE(round('RHS INPUT'!N324),Char(44)," ",'RHS INPUT'!C324),""))</f>
        <v>29, rhs_weap_ak74m</v>
      </c>
    </row>
    <row r="325" ht="12.0" customHeight="1">
      <c r="A325" s="1" t="str">
        <f>IFERROR(__xludf.DUMMYFUNCTION("if(ISBLANK('RHS INPUT'!C325),,CONCATENATE(CHAR(34),To_Text('RHS INPUT'!C325),CHAR(34),CHAR(44)))"),"""rhs_weap_ak74m_folded"",")</f>
        <v>"rhs_weap_ak74m_folded",</v>
      </c>
      <c r="B325" s="18" t="str">
        <f>if(isblank('RHS INPUT'!A325),,CONCATENATE("/*  ",'RHS INPUT'!A325,"  */"))</f>
        <v/>
      </c>
      <c r="C325" s="22" t="str">
        <f>if(isblank(A325),,if('RHS INPUT'!D325=1,Concatenate("class ",'RHS INPUT'!C325),))</f>
        <v>class rhs_weap_ak74m_folded</v>
      </c>
      <c r="D325" s="27" t="str">
        <f>if(ISBLANK(A325),,if('RHS INPUT'!D325=1,CONCATENATE("{quality = ",'RHS INPUT'!G325,"; price = ",Round('RHS INPUT'!M325),";};"),""))</f>
        <v>{quality = 1; price = 250;};</v>
      </c>
      <c r="E325" t="str">
        <f>IFERROR(__xludf.DUMMYFUNCTION("if(ISBLANK(A325),, if('RHS INPUT'!E325=1,CONCATENATE(CHAR(34),To_Text('RHS INPUT'!C325),CHAR(34),CHAR(44)),""""))"),"""rhs_weap_ak74m_folded"",")</f>
        <v>"rhs_weap_ak74m_folded",</v>
      </c>
      <c r="F325" s="28" t="str">
        <f>IF(isblank(A325) ,Concatenate("&gt; ",'RHS INPUT'!A325) , if('RHS INPUT'!F325=1,CONCATENATE(round('RHS INPUT'!N325),Char(44)," ",'RHS INPUT'!C325),""))</f>
        <v>29, rhs_weap_ak74m_folded</v>
      </c>
    </row>
    <row r="326" ht="12.0" customHeight="1">
      <c r="A326" s="1" t="str">
        <f>IFERROR(__xludf.DUMMYFUNCTION("if(ISBLANK('RHS INPUT'!C326),,CONCATENATE(CHAR(34),To_Text('RHS INPUT'!C326),CHAR(34),CHAR(44)))"),"""rhs_weap_ak74m_npz"",")</f>
        <v>"rhs_weap_ak74m_npz",</v>
      </c>
      <c r="B326" s="18" t="str">
        <f>if(isblank('RHS INPUT'!A326),,CONCATENATE("/*  ",'RHS INPUT'!A326,"  */"))</f>
        <v/>
      </c>
      <c r="C326" s="22" t="str">
        <f>if(isblank(A326),,if('RHS INPUT'!D326=1,Concatenate("class ",'RHS INPUT'!C326),))</f>
        <v>class rhs_weap_ak74m_npz</v>
      </c>
      <c r="D326" s="27" t="str">
        <f>if(ISBLANK(A326),,if('RHS INPUT'!D326=1,CONCATENATE("{quality = ",'RHS INPUT'!G326,"; price = ",Round('RHS INPUT'!M326),";};"),""))</f>
        <v>{quality = 1; price = 350;};</v>
      </c>
      <c r="E326" t="str">
        <f>IFERROR(__xludf.DUMMYFUNCTION("if(ISBLANK(A326),, if('RHS INPUT'!E326=1,CONCATENATE(CHAR(34),To_Text('RHS INPUT'!C326),CHAR(34),CHAR(44)),""""))"),"""rhs_weap_ak74m_npz"",")</f>
        <v>"rhs_weap_ak74m_npz",</v>
      </c>
      <c r="F326" s="28" t="str">
        <f>IF(isblank(A326) ,Concatenate("&gt; ",'RHS INPUT'!A326) , if('RHS INPUT'!F326=1,CONCATENATE(round('RHS INPUT'!N326),Char(44)," ",'RHS INPUT'!C326),""))</f>
        <v>22, rhs_weap_ak74m_npz</v>
      </c>
    </row>
    <row r="327" ht="12.0" customHeight="1">
      <c r="A327" s="1" t="str">
        <f>IFERROR(__xludf.DUMMYFUNCTION("if(ISBLANK('RHS INPUT'!C327),,CONCATENATE(CHAR(34),To_Text('RHS INPUT'!C327),CHAR(34),CHAR(44)))"),"""rhs_weap_ak74m_gp25"",")</f>
        <v>"rhs_weap_ak74m_gp25",</v>
      </c>
      <c r="B327" s="18" t="str">
        <f>if(isblank('RHS INPUT'!A327),,CONCATENATE("/*  ",'RHS INPUT'!A327,"  */"))</f>
        <v/>
      </c>
      <c r="C327" s="22" t="str">
        <f>if(isblank(A327),,if('RHS INPUT'!D327=1,Concatenate("class ",'RHS INPUT'!C327),))</f>
        <v>class rhs_weap_ak74m_gp25</v>
      </c>
      <c r="D327" s="27" t="str">
        <f>if(ISBLANK(A327),,if('RHS INPUT'!D327=1,CONCATENATE("{quality = ",'RHS INPUT'!G327,"; price = ",Round('RHS INPUT'!M327),";};"),""))</f>
        <v>{quality = 1; price = 400;};</v>
      </c>
      <c r="E327" t="str">
        <f>IFERROR(__xludf.DUMMYFUNCTION("if(ISBLANK(A327),, if('RHS INPUT'!E327=1,CONCATENATE(CHAR(34),To_Text('RHS INPUT'!C327),CHAR(34),CHAR(44)),""""))"),"""rhs_weap_ak74m_gp25"",")</f>
        <v>"rhs_weap_ak74m_gp25",</v>
      </c>
      <c r="F327" s="28" t="str">
        <f>IF(isblank(A327) ,Concatenate("&gt; ",'RHS INPUT'!A327) , if('RHS INPUT'!F327=1,CONCATENATE(round('RHS INPUT'!N327),Char(44)," ",'RHS INPUT'!C327),""))</f>
        <v>20, rhs_weap_ak74m_gp25</v>
      </c>
    </row>
    <row r="328" ht="12.0" customHeight="1">
      <c r="A328" s="1" t="str">
        <f>IFERROR(__xludf.DUMMYFUNCTION("if(ISBLANK('RHS INPUT'!C328),,CONCATENATE(CHAR(34),To_Text('RHS INPUT'!C328),CHAR(34),CHAR(44)))"),"""rhs_weap_ak74m_gp25_folded"",")</f>
        <v>"rhs_weap_ak74m_gp25_folded",</v>
      </c>
      <c r="B328" s="18" t="str">
        <f>if(isblank('RHS INPUT'!A328),,CONCATENATE("/*  ",'RHS INPUT'!A328,"  */"))</f>
        <v/>
      </c>
      <c r="C328" s="22" t="str">
        <f>if(isblank(A328),,if('RHS INPUT'!D328=1,Concatenate("class ",'RHS INPUT'!C328),))</f>
        <v>class rhs_weap_ak74m_gp25_folded</v>
      </c>
      <c r="D328" s="27" t="str">
        <f>if(ISBLANK(A328),,if('RHS INPUT'!D328=1,CONCATENATE("{quality = ",'RHS INPUT'!G328,"; price = ",Round('RHS INPUT'!M328),";};"),""))</f>
        <v>{quality = 1; price = 400;};</v>
      </c>
      <c r="E328" t="str">
        <f>IFERROR(__xludf.DUMMYFUNCTION("if(ISBLANK(A328),, if('RHS INPUT'!E328=1,CONCATENATE(CHAR(34),To_Text('RHS INPUT'!C328),CHAR(34),CHAR(44)),""""))"),"""rhs_weap_ak74m_gp25_folded"",")</f>
        <v>"rhs_weap_ak74m_gp25_folded",</v>
      </c>
      <c r="F328" s="28" t="str">
        <f>IF(isblank(A328) ,Concatenate("&gt; ",'RHS INPUT'!A328) , if('RHS INPUT'!F328=1,CONCATENATE(round('RHS INPUT'!N328),Char(44)," ",'RHS INPUT'!C328),""))</f>
        <v>20, rhs_weap_ak74m_gp25_folded</v>
      </c>
    </row>
    <row r="329" ht="12.0" customHeight="1">
      <c r="A329" s="1" t="str">
        <f>IFERROR(__xludf.DUMMYFUNCTION("if(ISBLANK('RHS INPUT'!C329),,CONCATENATE(CHAR(34),To_Text('RHS INPUT'!C329),CHAR(34),CHAR(44)))"),"""rhs_weap_ak74m_gp25_npz"",")</f>
        <v>"rhs_weap_ak74m_gp25_npz",</v>
      </c>
      <c r="B329" s="18" t="str">
        <f>if(isblank('RHS INPUT'!A329),,CONCATENATE("/*  ",'RHS INPUT'!A329,"  */"))</f>
        <v/>
      </c>
      <c r="C329" s="22" t="str">
        <f>if(isblank(A329),,if('RHS INPUT'!D329=1,Concatenate("class ",'RHS INPUT'!C329),))</f>
        <v>class rhs_weap_ak74m_gp25_npz</v>
      </c>
      <c r="D329" s="27" t="str">
        <f>if(ISBLANK(A329),,if('RHS INPUT'!D329=1,CONCATENATE("{quality = ",'RHS INPUT'!G329,"; price = ",Round('RHS INPUT'!M329),";};"),""))</f>
        <v>{quality = 1; price = 500;};</v>
      </c>
      <c r="E329" t="str">
        <f>IFERROR(__xludf.DUMMYFUNCTION("if(ISBLANK(A329),, if('RHS INPUT'!E329=1,CONCATENATE(CHAR(34),To_Text('RHS INPUT'!C329),CHAR(34),CHAR(44)),""""))"),"""rhs_weap_ak74m_gp25_npz"",")</f>
        <v>"rhs_weap_ak74m_gp25_npz",</v>
      </c>
      <c r="F329" s="28" t="str">
        <f>IF(isblank(A329) ,Concatenate("&gt; ",'RHS INPUT'!A329) , if('RHS INPUT'!F329=1,CONCATENATE(round('RHS INPUT'!N329),Char(44)," ",'RHS INPUT'!C329),""))</f>
        <v>17, rhs_weap_ak74m_gp25_npz</v>
      </c>
    </row>
    <row r="330" ht="12.0" customHeight="1">
      <c r="A330" s="1" t="str">
        <f>IFERROR(__xludf.DUMMYFUNCTION("if(ISBLANK('RHS INPUT'!C330),,CONCATENATE(CHAR(34),To_Text('RHS INPUT'!C330),CHAR(34),CHAR(44)))"),"""rhs_weap_ak74m_camo"",")</f>
        <v>"rhs_weap_ak74m_camo",</v>
      </c>
      <c r="B330" s="18" t="str">
        <f>if(isblank('RHS INPUT'!A330),,CONCATENATE("/*  ",'RHS INPUT'!A330,"  */"))</f>
        <v/>
      </c>
      <c r="C330" s="22" t="str">
        <f>if(isblank(A330),,if('RHS INPUT'!D330=1,Concatenate("class ",'RHS INPUT'!C330),))</f>
        <v>class rhs_weap_ak74m_camo</v>
      </c>
      <c r="D330" s="27" t="str">
        <f>if(ISBLANK(A330),,if('RHS INPUT'!D330=1,CONCATENATE("{quality = ",'RHS INPUT'!G330,"; price = ",Round('RHS INPUT'!M330),";};"),""))</f>
        <v>{quality = 1; price = 250;};</v>
      </c>
      <c r="E330" t="str">
        <f>IFERROR(__xludf.DUMMYFUNCTION("if(ISBLANK(A330),, if('RHS INPUT'!E330=1,CONCATENATE(CHAR(34),To_Text('RHS INPUT'!C330),CHAR(34),CHAR(44)),""""))"),"""rhs_weap_ak74m_camo"",")</f>
        <v>"rhs_weap_ak74m_camo",</v>
      </c>
      <c r="F330" s="28" t="str">
        <f>IF(isblank(A330) ,Concatenate("&gt; ",'RHS INPUT'!A330) , if('RHS INPUT'!F330=1,CONCATENATE(round('RHS INPUT'!N330),Char(44)," ",'RHS INPUT'!C330),""))</f>
        <v>29, rhs_weap_ak74m_camo</v>
      </c>
    </row>
    <row r="331" ht="12.0" customHeight="1">
      <c r="A331" s="1" t="str">
        <f>IFERROR(__xludf.DUMMYFUNCTION("if(ISBLANK('RHS INPUT'!C331),,CONCATENATE(CHAR(34),To_Text('RHS INPUT'!C331),CHAR(34),CHAR(44)))"),"""rhs_weap_ak74m_camo_folded"",")</f>
        <v>"rhs_weap_ak74m_camo_folded",</v>
      </c>
      <c r="B331" s="18" t="str">
        <f>if(isblank('RHS INPUT'!A331),,CONCATENATE("/*  ",'RHS INPUT'!A331,"  */"))</f>
        <v/>
      </c>
      <c r="C331" s="22" t="str">
        <f>if(isblank(A331),,if('RHS INPUT'!D331=1,Concatenate("class ",'RHS INPUT'!C331),))</f>
        <v>class rhs_weap_ak74m_camo_folded</v>
      </c>
      <c r="D331" s="27" t="str">
        <f>if(ISBLANK(A331),,if('RHS INPUT'!D331=1,CONCATENATE("{quality = ",'RHS INPUT'!G331,"; price = ",Round('RHS INPUT'!M331),";};"),""))</f>
        <v>{quality = 1; price = 250;};</v>
      </c>
      <c r="E331" t="str">
        <f>IFERROR(__xludf.DUMMYFUNCTION("if(ISBLANK(A331),, if('RHS INPUT'!E331=1,CONCATENATE(CHAR(34),To_Text('RHS INPUT'!C331),CHAR(34),CHAR(44)),""""))"),"""rhs_weap_ak74m_camo_folded"",")</f>
        <v>"rhs_weap_ak74m_camo_folded",</v>
      </c>
      <c r="F331" s="28" t="str">
        <f>IF(isblank(A331) ,Concatenate("&gt; ",'RHS INPUT'!A331) , if('RHS INPUT'!F331=1,CONCATENATE(round('RHS INPUT'!N331),Char(44)," ",'RHS INPUT'!C331),""))</f>
        <v>29, rhs_weap_ak74m_camo_folded</v>
      </c>
    </row>
    <row r="332" ht="12.0" customHeight="1">
      <c r="A332" s="1" t="str">
        <f>IFERROR(__xludf.DUMMYFUNCTION("if(ISBLANK('RHS INPUT'!C332),,CONCATENATE(CHAR(34),To_Text('RHS INPUT'!C332),CHAR(34),CHAR(44)))"),"""rhs_weap_ak74m_camo_npz"",")</f>
        <v>"rhs_weap_ak74m_camo_npz",</v>
      </c>
      <c r="B332" s="18" t="str">
        <f>if(isblank('RHS INPUT'!A332),,CONCATENATE("/*  ",'RHS INPUT'!A332,"  */"))</f>
        <v/>
      </c>
      <c r="C332" s="22" t="str">
        <f>if(isblank(A332),,if('RHS INPUT'!D332=1,Concatenate("class ",'RHS INPUT'!C332),))</f>
        <v>class rhs_weap_ak74m_camo_npz</v>
      </c>
      <c r="D332" s="27" t="str">
        <f>if(ISBLANK(A332),,if('RHS INPUT'!D332=1,CONCATENATE("{quality = ",'RHS INPUT'!G332,"; price = ",Round('RHS INPUT'!M332),";};"),""))</f>
        <v>{quality = 1; price = 350;};</v>
      </c>
      <c r="E332" t="str">
        <f>IFERROR(__xludf.DUMMYFUNCTION("if(ISBLANK(A332),, if('RHS INPUT'!E332=1,CONCATENATE(CHAR(34),To_Text('RHS INPUT'!C332),CHAR(34),CHAR(44)),""""))"),"""rhs_weap_ak74m_camo_npz"",")</f>
        <v>"rhs_weap_ak74m_camo_npz",</v>
      </c>
      <c r="F332" s="28" t="str">
        <f>IF(isblank(A332) ,Concatenate("&gt; ",'RHS INPUT'!A332) , if('RHS INPUT'!F332=1,CONCATENATE(round('RHS INPUT'!N332),Char(44)," ",'RHS INPUT'!C332),""))</f>
        <v>22, rhs_weap_ak74m_camo_npz</v>
      </c>
    </row>
    <row r="333" ht="12.0" customHeight="1">
      <c r="A333" s="1" t="str">
        <f>IFERROR(__xludf.DUMMYFUNCTION("if(ISBLANK('RHS INPUT'!C333),,CONCATENATE(CHAR(34),To_Text('RHS INPUT'!C333),CHAR(34),CHAR(44)))"),"""rhs_weap_ak74m_desert"",")</f>
        <v>"rhs_weap_ak74m_desert",</v>
      </c>
      <c r="B333" s="18" t="str">
        <f>if(isblank('RHS INPUT'!A333),,CONCATENATE("/*  ",'RHS INPUT'!A333,"  */"))</f>
        <v/>
      </c>
      <c r="C333" s="22" t="str">
        <f>if(isblank(A333),,if('RHS INPUT'!D333=1,Concatenate("class ",'RHS INPUT'!C333),))</f>
        <v>class rhs_weap_ak74m_desert</v>
      </c>
      <c r="D333" s="27" t="str">
        <f>if(ISBLANK(A333),,if('RHS INPUT'!D333=1,CONCATENATE("{quality = ",'RHS INPUT'!G333,"; price = ",Round('RHS INPUT'!M333),";};"),""))</f>
        <v>{quality = 1; price = 250;};</v>
      </c>
      <c r="E333" t="str">
        <f>IFERROR(__xludf.DUMMYFUNCTION("if(ISBLANK(A333),, if('RHS INPUT'!E333=1,CONCATENATE(CHAR(34),To_Text('RHS INPUT'!C333),CHAR(34),CHAR(44)),""""))"),"""rhs_weap_ak74m_desert"",")</f>
        <v>"rhs_weap_ak74m_desert",</v>
      </c>
      <c r="F333" s="28" t="str">
        <f>IF(isblank(A333) ,Concatenate("&gt; ",'RHS INPUT'!A333) , if('RHS INPUT'!F333=1,CONCATENATE(round('RHS INPUT'!N333),Char(44)," ",'RHS INPUT'!C333),""))</f>
        <v>29, rhs_weap_ak74m_desert</v>
      </c>
    </row>
    <row r="334" ht="12.0" customHeight="1">
      <c r="A334" s="1" t="str">
        <f>IFERROR(__xludf.DUMMYFUNCTION("if(ISBLANK('RHS INPUT'!C334),,CONCATENATE(CHAR(34),To_Text('RHS INPUT'!C334),CHAR(34),CHAR(44)))"),"""rhs_weap_ak74m_desert_folded"",")</f>
        <v>"rhs_weap_ak74m_desert_folded",</v>
      </c>
      <c r="B334" s="18" t="str">
        <f>if(isblank('RHS INPUT'!A334),,CONCATENATE("/*  ",'RHS INPUT'!A334,"  */"))</f>
        <v/>
      </c>
      <c r="C334" s="22" t="str">
        <f>if(isblank(A334),,if('RHS INPUT'!D334=1,Concatenate("class ",'RHS INPUT'!C334),))</f>
        <v>class rhs_weap_ak74m_desert_folded</v>
      </c>
      <c r="D334" s="27" t="str">
        <f>if(ISBLANK(A334),,if('RHS INPUT'!D334=1,CONCATENATE("{quality = ",'RHS INPUT'!G334,"; price = ",Round('RHS INPUT'!M334),";};"),""))</f>
        <v>{quality = 1; price = 250;};</v>
      </c>
      <c r="E334" t="str">
        <f>IFERROR(__xludf.DUMMYFUNCTION("if(ISBLANK(A334),, if('RHS INPUT'!E334=1,CONCATENATE(CHAR(34),To_Text('RHS INPUT'!C334),CHAR(34),CHAR(44)),""""))"),"""rhs_weap_ak74m_desert_folded"",")</f>
        <v>"rhs_weap_ak74m_desert_folded",</v>
      </c>
      <c r="F334" s="28" t="str">
        <f>IF(isblank(A334) ,Concatenate("&gt; ",'RHS INPUT'!A334) , if('RHS INPUT'!F334=1,CONCATENATE(round('RHS INPUT'!N334),Char(44)," ",'RHS INPUT'!C334),""))</f>
        <v>29, rhs_weap_ak74m_desert_folded</v>
      </c>
    </row>
    <row r="335" ht="12.0" customHeight="1">
      <c r="A335" s="1" t="str">
        <f>IFERROR(__xludf.DUMMYFUNCTION("if(ISBLANK('RHS INPUT'!C335),,CONCATENATE(CHAR(34),To_Text('RHS INPUT'!C335),CHAR(34),CHAR(44)))"),"""rhs_weap_ak74m_desert_npz"",")</f>
        <v>"rhs_weap_ak74m_desert_npz",</v>
      </c>
      <c r="B335" s="18" t="str">
        <f>if(isblank('RHS INPUT'!A335),,CONCATENATE("/*  ",'RHS INPUT'!A335,"  */"))</f>
        <v/>
      </c>
      <c r="C335" s="22" t="str">
        <f>if(isblank(A335),,if('RHS INPUT'!D335=1,Concatenate("class ",'RHS INPUT'!C335),))</f>
        <v>class rhs_weap_ak74m_desert_npz</v>
      </c>
      <c r="D335" s="27" t="str">
        <f>if(ISBLANK(A335),,if('RHS INPUT'!D335=1,CONCATENATE("{quality = ",'RHS INPUT'!G335,"; price = ",Round('RHS INPUT'!M335),";};"),""))</f>
        <v>{quality = 1; price = 350;};</v>
      </c>
      <c r="E335" t="str">
        <f>IFERROR(__xludf.DUMMYFUNCTION("if(ISBLANK(A335),, if('RHS INPUT'!E335=1,CONCATENATE(CHAR(34),To_Text('RHS INPUT'!C335),CHAR(34),CHAR(44)),""""))"),"""rhs_weap_ak74m_desert_npz"",")</f>
        <v>"rhs_weap_ak74m_desert_npz",</v>
      </c>
      <c r="F335" s="28" t="str">
        <f>IF(isblank(A335) ,Concatenate("&gt; ",'RHS INPUT'!A335) , if('RHS INPUT'!F335=1,CONCATENATE(round('RHS INPUT'!N335),Char(44)," ",'RHS INPUT'!C335),""))</f>
        <v>22, rhs_weap_ak74m_desert_npz</v>
      </c>
    </row>
    <row r="336" ht="12.0" customHeight="1">
      <c r="A336" s="1" t="str">
        <f>IFERROR(__xludf.DUMMYFUNCTION("if(ISBLANK('RHS INPUT'!C336),,CONCATENATE(CHAR(34),To_Text('RHS INPUT'!C336),CHAR(34),CHAR(44)))"),"""rhs_weap_akm"",")</f>
        <v>"rhs_weap_akm",</v>
      </c>
      <c r="B336" s="18" t="str">
        <f>if(isblank('RHS INPUT'!A336),,CONCATENATE("/*  ",'RHS INPUT'!A336,"  */"))</f>
        <v/>
      </c>
      <c r="C336" s="22" t="str">
        <f>if(isblank(A336),,if('RHS INPUT'!D336=1,Concatenate("class ",'RHS INPUT'!C336),))</f>
        <v>class rhs_weap_akm</v>
      </c>
      <c r="D336" s="27" t="str">
        <f>if(ISBLANK(A336),,if('RHS INPUT'!D336=1,CONCATENATE("{quality = ",'RHS INPUT'!G336,"; price = ",Round('RHS INPUT'!M336),";};"),""))</f>
        <v>{quality = 2; price = 600;};</v>
      </c>
      <c r="E336" t="str">
        <f>IFERROR(__xludf.DUMMYFUNCTION("if(ISBLANK(A336),, if('RHS INPUT'!E336=1,CONCATENATE(CHAR(34),To_Text('RHS INPUT'!C336),CHAR(34),CHAR(44)),""""))"),"""rhs_weap_akm"",")</f>
        <v>"rhs_weap_akm",</v>
      </c>
      <c r="F336" s="28" t="str">
        <f>IF(isblank(A336) ,Concatenate("&gt; ",'RHS INPUT'!A336) , if('RHS INPUT'!F336=1,CONCATENATE(round('RHS INPUT'!N336),Char(44)," ",'RHS INPUT'!C336),""))</f>
        <v>14, rhs_weap_akm</v>
      </c>
    </row>
    <row r="337" ht="12.0" customHeight="1">
      <c r="A337" s="1" t="str">
        <f>IFERROR(__xludf.DUMMYFUNCTION("if(ISBLANK('RHS INPUT'!C337),,CONCATENATE(CHAR(34),To_Text('RHS INPUT'!C337),CHAR(34),CHAR(44)))"),"""rhs_weap_akms"",")</f>
        <v>"rhs_weap_akms",</v>
      </c>
      <c r="B337" s="18" t="str">
        <f>if(isblank('RHS INPUT'!A337),,CONCATENATE("/*  ",'RHS INPUT'!A337,"  */"))</f>
        <v/>
      </c>
      <c r="C337" s="22" t="str">
        <f>if(isblank(A337),,if('RHS INPUT'!D337=1,Concatenate("class ",'RHS INPUT'!C337),))</f>
        <v>class rhs_weap_akms</v>
      </c>
      <c r="D337" s="27" t="str">
        <f>if(ISBLANK(A337),,if('RHS INPUT'!D337=1,CONCATENATE("{quality = ",'RHS INPUT'!G337,"; price = ",Round('RHS INPUT'!M337),";};"),""))</f>
        <v>{quality = 2; price = 600;};</v>
      </c>
      <c r="E337" t="str">
        <f>IFERROR(__xludf.DUMMYFUNCTION("if(ISBLANK(A337),, if('RHS INPUT'!E337=1,CONCATENATE(CHAR(34),To_Text('RHS INPUT'!C337),CHAR(34),CHAR(44)),""""))"),"""rhs_weap_akms"",")</f>
        <v>"rhs_weap_akms",</v>
      </c>
      <c r="F337" s="28" t="str">
        <f>IF(isblank(A337) ,Concatenate("&gt; ",'RHS INPUT'!A337) , if('RHS INPUT'!F337=1,CONCATENATE(round('RHS INPUT'!N337),Char(44)," ",'RHS INPUT'!C337),""))</f>
        <v>14, rhs_weap_akms</v>
      </c>
    </row>
    <row r="338" ht="12.0" customHeight="1">
      <c r="A338" s="1" t="str">
        <f>IFERROR(__xludf.DUMMYFUNCTION("if(ISBLANK('RHS INPUT'!C338),,CONCATENATE(CHAR(34),To_Text('RHS INPUT'!C338),CHAR(34),CHAR(44)))"),"""rhs_weap_akm_gp25"",")</f>
        <v>"rhs_weap_akm_gp25",</v>
      </c>
      <c r="B338" s="18" t="str">
        <f>if(isblank('RHS INPUT'!A338),,CONCATENATE("/*  ",'RHS INPUT'!A338,"  */"))</f>
        <v/>
      </c>
      <c r="C338" s="22" t="str">
        <f>if(isblank(A338),,if('RHS INPUT'!D338=1,Concatenate("class ",'RHS INPUT'!C338),))</f>
        <v>class rhs_weap_akm_gp25</v>
      </c>
      <c r="D338" s="27" t="str">
        <f>if(ISBLANK(A338),,if('RHS INPUT'!D338=1,CONCATENATE("{quality = ",'RHS INPUT'!G338,"; price = ",Round('RHS INPUT'!M338),";};"),""))</f>
        <v>{quality = 2; price = 750;};</v>
      </c>
      <c r="E338" t="str">
        <f>IFERROR(__xludf.DUMMYFUNCTION("if(ISBLANK(A338),, if('RHS INPUT'!E338=1,CONCATENATE(CHAR(34),To_Text('RHS INPUT'!C338),CHAR(34),CHAR(44)),""""))"),"""rhs_weap_akm_gp25"",")</f>
        <v>"rhs_weap_akm_gp25",</v>
      </c>
      <c r="F338" s="28" t="str">
        <f>IF(isblank(A338) ,Concatenate("&gt; ",'RHS INPUT'!A338) , if('RHS INPUT'!F338=1,CONCATENATE(round('RHS INPUT'!N338),Char(44)," ",'RHS INPUT'!C338),""))</f>
        <v>12, rhs_weap_akm_gp25</v>
      </c>
    </row>
    <row r="339" ht="12.0" customHeight="1">
      <c r="A339" s="1" t="str">
        <f>IFERROR(__xludf.DUMMYFUNCTION("if(ISBLANK('RHS INPUT'!C339),,CONCATENATE(CHAR(34),To_Text('RHS INPUT'!C339),CHAR(34),CHAR(44)))"),"""rhs_weap_akms_gp25"",")</f>
        <v>"rhs_weap_akms_gp25",</v>
      </c>
      <c r="B339" s="18" t="str">
        <f>if(isblank('RHS INPUT'!A339),,CONCATENATE("/*  ",'RHS INPUT'!A339,"  */"))</f>
        <v/>
      </c>
      <c r="C339" s="22" t="str">
        <f>if(isblank(A339),,if('RHS INPUT'!D339=1,Concatenate("class ",'RHS INPUT'!C339),))</f>
        <v>class rhs_weap_akms_gp25</v>
      </c>
      <c r="D339" s="27" t="str">
        <f>if(ISBLANK(A339),,if('RHS INPUT'!D339=1,CONCATENATE("{quality = ",'RHS INPUT'!G339,"; price = ",Round('RHS INPUT'!M339),";};"),""))</f>
        <v>{quality = 2; price = 750;};</v>
      </c>
      <c r="E339" t="str">
        <f>IFERROR(__xludf.DUMMYFUNCTION("if(ISBLANK(A339),, if('RHS INPUT'!E339=1,CONCATENATE(CHAR(34),To_Text('RHS INPUT'!C339),CHAR(34),CHAR(44)),""""))"),"""rhs_weap_akms_gp25"",")</f>
        <v>"rhs_weap_akms_gp25",</v>
      </c>
      <c r="F339" s="28" t="str">
        <f>IF(isblank(A339) ,Concatenate("&gt; ",'RHS INPUT'!A339) , if('RHS INPUT'!F339=1,CONCATENATE(round('RHS INPUT'!N339),Char(44)," ",'RHS INPUT'!C339),""))</f>
        <v>12, rhs_weap_akms_gp25</v>
      </c>
    </row>
    <row r="340" ht="12.0" customHeight="1">
      <c r="A340" s="1" t="str">
        <f>IFERROR(__xludf.DUMMYFUNCTION("if(ISBLANK('RHS INPUT'!C340),,CONCATENATE(CHAR(34),To_Text('RHS INPUT'!C340),CHAR(34),CHAR(44)))"),"""rhs_weap_m4"",")</f>
        <v>"rhs_weap_m4",</v>
      </c>
      <c r="B340" s="18" t="str">
        <f>if(isblank('RHS INPUT'!A340),,CONCATENATE("/*  ",'RHS INPUT'!A340,"  */"))</f>
        <v/>
      </c>
      <c r="C340" s="22" t="str">
        <f>if(isblank(A340),,if('RHS INPUT'!D340=1,Concatenate("class ",'RHS INPUT'!C340),))</f>
        <v>class rhs_weap_m4</v>
      </c>
      <c r="D340" s="27" t="str">
        <f>if(ISBLANK(A340),,if('RHS INPUT'!D340=1,CONCATENATE("{quality = ",'RHS INPUT'!G340,"; price = ",Round('RHS INPUT'!M340),";};"),""))</f>
        <v>{quality = 1; price = 400;};</v>
      </c>
      <c r="E340" t="str">
        <f>IFERROR(__xludf.DUMMYFUNCTION("if(ISBLANK(A340),, if('RHS INPUT'!E340=1,CONCATENATE(CHAR(34),To_Text('RHS INPUT'!C340),CHAR(34),CHAR(44)),""""))"),"""rhs_weap_m4"",")</f>
        <v>"rhs_weap_m4",</v>
      </c>
      <c r="F340" s="28" t="str">
        <f>IF(isblank(A340) ,Concatenate("&gt; ",'RHS INPUT'!A340) , if('RHS INPUT'!F340=1,CONCATENATE(round('RHS INPUT'!N340),Char(44)," ",'RHS INPUT'!C340),""))</f>
        <v>20, rhs_weap_m4</v>
      </c>
    </row>
    <row r="341" ht="12.0" customHeight="1">
      <c r="A341" s="1" t="str">
        <f>IFERROR(__xludf.DUMMYFUNCTION("if(ISBLANK('RHS INPUT'!C341),,CONCATENATE(CHAR(34),To_Text('RHS INPUT'!C341),CHAR(34),CHAR(44)))"),"""rhs_weap_m4_carryhandle"",")</f>
        <v>"rhs_weap_m4_carryhandle",</v>
      </c>
      <c r="B341" s="18" t="str">
        <f>if(isblank('RHS INPUT'!A341),,CONCATENATE("/*  ",'RHS INPUT'!A341,"  */"))</f>
        <v/>
      </c>
      <c r="C341" s="22" t="str">
        <f>if(isblank(A341),,if('RHS INPUT'!D341=1,Concatenate("class ",'RHS INPUT'!C341),))</f>
        <v>class rhs_weap_m4_carryhandle</v>
      </c>
      <c r="D341" s="27" t="str">
        <f>if(ISBLANK(A341),,if('RHS INPUT'!D341=1,CONCATENATE("{quality = ",'RHS INPUT'!G341,"; price = ",Round('RHS INPUT'!M341),";};"),""))</f>
        <v>{quality = 1; price = 400;};</v>
      </c>
      <c r="E341" t="str">
        <f>IFERROR(__xludf.DUMMYFUNCTION("if(ISBLANK(A341),, if('RHS INPUT'!E341=1,CONCATENATE(CHAR(34),To_Text('RHS INPUT'!C341),CHAR(34),CHAR(44)),""""))"),"""rhs_weap_m4_carryhandle"",")</f>
        <v>"rhs_weap_m4_carryhandle",</v>
      </c>
      <c r="F341" s="28" t="str">
        <f>IF(isblank(A341) ,Concatenate("&gt; ",'RHS INPUT'!A341) , if('RHS INPUT'!F341=1,CONCATENATE(round('RHS INPUT'!N341),Char(44)," ",'RHS INPUT'!C341),""))</f>
        <v>20, rhs_weap_m4_carryhandle</v>
      </c>
    </row>
    <row r="342" ht="12.0" customHeight="1">
      <c r="A342" s="1" t="str">
        <f>IFERROR(__xludf.DUMMYFUNCTION("if(ISBLANK('RHS INPUT'!C342),,CONCATENATE(CHAR(34),To_Text('RHS INPUT'!C342),CHAR(34),CHAR(44)))"),"""rhs_weap_m4_carryhandle_pmag"",")</f>
        <v>"rhs_weap_m4_carryhandle_pmag",</v>
      </c>
      <c r="B342" s="18" t="str">
        <f>if(isblank('RHS INPUT'!A342),,CONCATENATE("/*  ",'RHS INPUT'!A342,"  */"))</f>
        <v/>
      </c>
      <c r="C342" s="22" t="str">
        <f>if(isblank(A342),,if('RHS INPUT'!D342=1,Concatenate("class ",'RHS INPUT'!C342),))</f>
        <v>class rhs_weap_m4_carryhandle_pmag</v>
      </c>
      <c r="D342" s="27" t="str">
        <f>if(ISBLANK(A342),,if('RHS INPUT'!D342=1,CONCATENATE("{quality = ",'RHS INPUT'!G342,"; price = ",Round('RHS INPUT'!M342),";};"),""))</f>
        <v>{quality = 1; price = 400;};</v>
      </c>
      <c r="E342" t="str">
        <f>IFERROR(__xludf.DUMMYFUNCTION("if(ISBLANK(A342),, if('RHS INPUT'!E342=1,CONCATENATE(CHAR(34),To_Text('RHS INPUT'!C342),CHAR(34),CHAR(44)),""""))"),"""rhs_weap_m4_carryhandle_pmag"",")</f>
        <v>"rhs_weap_m4_carryhandle_pmag",</v>
      </c>
      <c r="F342" s="28" t="str">
        <f>IF(isblank(A342) ,Concatenate("&gt; ",'RHS INPUT'!A342) , if('RHS INPUT'!F342=1,CONCATENATE(round('RHS INPUT'!N342),Char(44)," ",'RHS INPUT'!C342),""))</f>
        <v>20, rhs_weap_m4_carryhandle_pmag</v>
      </c>
    </row>
    <row r="343" ht="12.0" customHeight="1">
      <c r="A343" s="1" t="str">
        <f>IFERROR(__xludf.DUMMYFUNCTION("if(ISBLANK('RHS INPUT'!C343),,CONCATENATE(CHAR(34),To_Text('RHS INPUT'!C343),CHAR(34),CHAR(44)))"),"""rhs_weap_m4_grip"",")</f>
        <v>"rhs_weap_m4_grip",</v>
      </c>
      <c r="B343" s="18" t="str">
        <f>if(isblank('RHS INPUT'!A343),,CONCATENATE("/*  ",'RHS INPUT'!A343,"  */"))</f>
        <v/>
      </c>
      <c r="C343" s="22" t="str">
        <f>if(isblank(A343),,if('RHS INPUT'!D343=1,Concatenate("class ",'RHS INPUT'!C343),))</f>
        <v>class rhs_weap_m4_grip</v>
      </c>
      <c r="D343" s="27" t="str">
        <f>if(ISBLANK(A343),,if('RHS INPUT'!D343=1,CONCATENATE("{quality = ",'RHS INPUT'!G343,"; price = ",Round('RHS INPUT'!M343),";};"),""))</f>
        <v>{quality = 1; price = 500;};</v>
      </c>
      <c r="E343" t="str">
        <f>IFERROR(__xludf.DUMMYFUNCTION("if(ISBLANK(A343),, if('RHS INPUT'!E343=1,CONCATENATE(CHAR(34),To_Text('RHS INPUT'!C343),CHAR(34),CHAR(44)),""""))"),"""rhs_weap_m4_grip"",")</f>
        <v>"rhs_weap_m4_grip",</v>
      </c>
      <c r="F343" s="28" t="str">
        <f>IF(isblank(A343) ,Concatenate("&gt; ",'RHS INPUT'!A343) , if('RHS INPUT'!F343=1,CONCATENATE(round('RHS INPUT'!N343),Char(44)," ",'RHS INPUT'!C343),""))</f>
        <v>17, rhs_weap_m4_grip</v>
      </c>
    </row>
    <row r="344" ht="12.0" customHeight="1">
      <c r="A344" s="1" t="str">
        <f>IFERROR(__xludf.DUMMYFUNCTION("if(ISBLANK('RHS INPUT'!C344),,CONCATENATE(CHAR(34),To_Text('RHS INPUT'!C344),CHAR(34),CHAR(44)))"),"""rhs_weap_m4_grip2"",")</f>
        <v>"rhs_weap_m4_grip2",</v>
      </c>
      <c r="B344" s="18" t="str">
        <f>if(isblank('RHS INPUT'!A344),,CONCATENATE("/*  ",'RHS INPUT'!A344,"  */"))</f>
        <v/>
      </c>
      <c r="C344" s="22" t="str">
        <f>if(isblank(A344),,if('RHS INPUT'!D344=1,Concatenate("class ",'RHS INPUT'!C344),))</f>
        <v>class rhs_weap_m4_grip2</v>
      </c>
      <c r="D344" s="27" t="str">
        <f>if(ISBLANK(A344),,if('RHS INPUT'!D344=1,CONCATENATE("{quality = ",'RHS INPUT'!G344,"; price = ",Round('RHS INPUT'!M344),";};"),""))</f>
        <v>{quality = 1; price = 500;};</v>
      </c>
      <c r="E344" t="str">
        <f>IFERROR(__xludf.DUMMYFUNCTION("if(ISBLANK(A344),, if('RHS INPUT'!E344=1,CONCATENATE(CHAR(34),To_Text('RHS INPUT'!C344),CHAR(34),CHAR(44)),""""))"),"""rhs_weap_m4_grip2"",")</f>
        <v>"rhs_weap_m4_grip2",</v>
      </c>
      <c r="F344" s="28" t="str">
        <f>IF(isblank(A344) ,Concatenate("&gt; ",'RHS INPUT'!A344) , if('RHS INPUT'!F344=1,CONCATENATE(round('RHS INPUT'!N344),Char(44)," ",'RHS INPUT'!C344),""))</f>
        <v>17, rhs_weap_m4_grip2</v>
      </c>
    </row>
    <row r="345" ht="12.0" customHeight="1">
      <c r="A345" s="1" t="str">
        <f>IFERROR(__xludf.DUMMYFUNCTION("if(ISBLANK('RHS INPUT'!C345),,CONCATENATE(CHAR(34),To_Text('RHS INPUT'!C345),CHAR(34),CHAR(44)))"),"""rhs_weap_m4_m203"",")</f>
        <v>"rhs_weap_m4_m203",</v>
      </c>
      <c r="B345" s="18" t="str">
        <f>if(isblank('RHS INPUT'!A345),,CONCATENATE("/*  ",'RHS INPUT'!A345,"  */"))</f>
        <v/>
      </c>
      <c r="C345" s="22" t="str">
        <f>if(isblank(A345),,if('RHS INPUT'!D345=1,Concatenate("class ",'RHS INPUT'!C345),))</f>
        <v>class rhs_weap_m4_m203</v>
      </c>
      <c r="D345" s="27" t="str">
        <f>if(ISBLANK(A345),,if('RHS INPUT'!D345=1,CONCATENATE("{quality = ",'RHS INPUT'!G345,"; price = ",Round('RHS INPUT'!M345),";};"),""))</f>
        <v>{quality = 1; price = 550;};</v>
      </c>
      <c r="E345" t="str">
        <f>IFERROR(__xludf.DUMMYFUNCTION("if(ISBLANK(A345),, if('RHS INPUT'!E345=1,CONCATENATE(CHAR(34),To_Text('RHS INPUT'!C345),CHAR(34),CHAR(44)),""""))"),"""rhs_weap_m4_m203"",")</f>
        <v>"rhs_weap_m4_m203",</v>
      </c>
      <c r="F345" s="28" t="str">
        <f>IF(isblank(A345) ,Concatenate("&gt; ",'RHS INPUT'!A345) , if('RHS INPUT'!F345=1,CONCATENATE(round('RHS INPUT'!N345),Char(44)," ",'RHS INPUT'!C345),""))</f>
        <v>15, rhs_weap_m4_m203</v>
      </c>
    </row>
    <row r="346" ht="12.0" customHeight="1">
      <c r="A346" s="1" t="str">
        <f>IFERROR(__xludf.DUMMYFUNCTION("if(ISBLANK('RHS INPUT'!C346),,CONCATENATE(CHAR(34),To_Text('RHS INPUT'!C346),CHAR(34),CHAR(44)))"),"""rhs_weap_m4_m320"",")</f>
        <v>"rhs_weap_m4_m320",</v>
      </c>
      <c r="B346" s="18" t="str">
        <f>if(isblank('RHS INPUT'!A346),,CONCATENATE("/*  ",'RHS INPUT'!A346,"  */"))</f>
        <v/>
      </c>
      <c r="C346" s="22" t="str">
        <f>if(isblank(A346),,if('RHS INPUT'!D346=1,Concatenate("class ",'RHS INPUT'!C346),))</f>
        <v>class rhs_weap_m4_m320</v>
      </c>
      <c r="D346" s="27" t="str">
        <f>if(ISBLANK(A346),,if('RHS INPUT'!D346=1,CONCATENATE("{quality = ",'RHS INPUT'!G346,"; price = ",Round('RHS INPUT'!M346),";};"),""))</f>
        <v>{quality = 1; price = 550;};</v>
      </c>
      <c r="E346" t="str">
        <f>IFERROR(__xludf.DUMMYFUNCTION("if(ISBLANK(A346),, if('RHS INPUT'!E346=1,CONCATENATE(CHAR(34),To_Text('RHS INPUT'!C346),CHAR(34),CHAR(44)),""""))"),"""rhs_weap_m4_m320"",")</f>
        <v>"rhs_weap_m4_m320",</v>
      </c>
      <c r="F346" s="28" t="str">
        <f>IF(isblank(A346) ,Concatenate("&gt; ",'RHS INPUT'!A346) , if('RHS INPUT'!F346=1,CONCATENATE(round('RHS INPUT'!N346),Char(44)," ",'RHS INPUT'!C346),""))</f>
        <v>15, rhs_weap_m4_m320</v>
      </c>
    </row>
    <row r="347" ht="12.0" customHeight="1">
      <c r="A347" s="1" t="str">
        <f>IFERROR(__xludf.DUMMYFUNCTION("if(ISBLANK('RHS INPUT'!C347),,CONCATENATE(CHAR(34),To_Text('RHS INPUT'!C347),CHAR(34),CHAR(44)))"),"""rhs_weap_m4a1"",")</f>
        <v>"rhs_weap_m4a1",</v>
      </c>
      <c r="B347" s="18" t="str">
        <f>if(isblank('RHS INPUT'!A347),,CONCATENATE("/*  ",'RHS INPUT'!A347,"  */"))</f>
        <v/>
      </c>
      <c r="C347" s="22" t="str">
        <f>if(isblank(A347),,if('RHS INPUT'!D347=1,Concatenate("class ",'RHS INPUT'!C347),))</f>
        <v>class rhs_weap_m4a1</v>
      </c>
      <c r="D347" s="27" t="str">
        <f>if(ISBLANK(A347),,if('RHS INPUT'!D347=1,CONCATENATE("{quality = ",'RHS INPUT'!G347,"; price = ",Round('RHS INPUT'!M347),";};"),""))</f>
        <v>{quality = 2; price = 900;};</v>
      </c>
      <c r="E347" t="str">
        <f>IFERROR(__xludf.DUMMYFUNCTION("if(ISBLANK(A347),, if('RHS INPUT'!E347=1,CONCATENATE(CHAR(34),To_Text('RHS INPUT'!C347),CHAR(34),CHAR(44)),""""))"),"""rhs_weap_m4a1"",")</f>
        <v>"rhs_weap_m4a1",</v>
      </c>
      <c r="F347" s="28" t="str">
        <f>IF(isblank(A347) ,Concatenate("&gt; ",'RHS INPUT'!A347) , if('RHS INPUT'!F347=1,CONCATENATE(round('RHS INPUT'!N347),Char(44)," ",'RHS INPUT'!C347),""))</f>
        <v>10, rhs_weap_m4a1</v>
      </c>
    </row>
    <row r="348" ht="12.0" customHeight="1">
      <c r="A348" s="1" t="str">
        <f>IFERROR(__xludf.DUMMYFUNCTION("if(ISBLANK('RHS INPUT'!C348),,CONCATENATE(CHAR(34),To_Text('RHS INPUT'!C348),CHAR(34),CHAR(44)))"),"""rhs_weap_m4a1_grip"",")</f>
        <v>"rhs_weap_m4a1_grip",</v>
      </c>
      <c r="B348" s="18" t="str">
        <f>if(isblank('RHS INPUT'!A348),,CONCATENATE("/*  ",'RHS INPUT'!A348,"  */"))</f>
        <v/>
      </c>
      <c r="C348" s="22" t="str">
        <f>if(isblank(A348),,if('RHS INPUT'!D348=1,Concatenate("class ",'RHS INPUT'!C348),))</f>
        <v>class rhs_weap_m4a1_grip</v>
      </c>
      <c r="D348" s="27" t="str">
        <f>if(ISBLANK(A348),,if('RHS INPUT'!D348=1,CONCATENATE("{quality = ",'RHS INPUT'!G348,"; price = ",Round('RHS INPUT'!M348),";};"),""))</f>
        <v>{quality = 2; price = 1000;};</v>
      </c>
      <c r="E348" t="str">
        <f>IFERROR(__xludf.DUMMYFUNCTION("if(ISBLANK(A348),, if('RHS INPUT'!E348=1,CONCATENATE(CHAR(34),To_Text('RHS INPUT'!C348),CHAR(34),CHAR(44)),""""))"),"""rhs_weap_m4a1_grip"",")</f>
        <v>"rhs_weap_m4a1_grip",</v>
      </c>
      <c r="F348" s="28" t="str">
        <f>IF(isblank(A348) ,Concatenate("&gt; ",'RHS INPUT'!A348) , if('RHS INPUT'!F348=1,CONCATENATE(round('RHS INPUT'!N348),Char(44)," ",'RHS INPUT'!C348),""))</f>
        <v>9, rhs_weap_m4a1_grip</v>
      </c>
    </row>
    <row r="349" ht="12.0" customHeight="1">
      <c r="A349" s="1" t="str">
        <f>IFERROR(__xludf.DUMMYFUNCTION("if(ISBLANK('RHS INPUT'!C349),,CONCATENATE(CHAR(34),To_Text('RHS INPUT'!C349),CHAR(34),CHAR(44)))"),"""rhs_weap_m4a1_grip2"",")</f>
        <v>"rhs_weap_m4a1_grip2",</v>
      </c>
      <c r="B349" s="18" t="str">
        <f>if(isblank('RHS INPUT'!A349),,CONCATENATE("/*  ",'RHS INPUT'!A349,"  */"))</f>
        <v/>
      </c>
      <c r="C349" s="22" t="str">
        <f>if(isblank(A349),,if('RHS INPUT'!D349=1,Concatenate("class ",'RHS INPUT'!C349),))</f>
        <v>class rhs_weap_m4a1_grip2</v>
      </c>
      <c r="D349" s="27" t="str">
        <f>if(ISBLANK(A349),,if('RHS INPUT'!D349=1,CONCATENATE("{quality = ",'RHS INPUT'!G349,"; price = ",Round('RHS INPUT'!M349),";};"),""))</f>
        <v>{quality = 2; price = 1000;};</v>
      </c>
      <c r="E349" t="str">
        <f>IFERROR(__xludf.DUMMYFUNCTION("if(ISBLANK(A349),, if('RHS INPUT'!E349=1,CONCATENATE(CHAR(34),To_Text('RHS INPUT'!C349),CHAR(34),CHAR(44)),""""))"),"""rhs_weap_m4a1_grip2"",")</f>
        <v>"rhs_weap_m4a1_grip2",</v>
      </c>
      <c r="F349" s="28" t="str">
        <f>IF(isblank(A349) ,Concatenate("&gt; ",'RHS INPUT'!A349) , if('RHS INPUT'!F349=1,CONCATENATE(round('RHS INPUT'!N349),Char(44)," ",'RHS INPUT'!C349),""))</f>
        <v>9, rhs_weap_m4a1_grip2</v>
      </c>
    </row>
    <row r="350" ht="12.0" customHeight="1">
      <c r="A350" s="1" t="str">
        <f>IFERROR(__xludf.DUMMYFUNCTION("if(ISBLANK('RHS INPUT'!C350),,CONCATENATE(CHAR(34),To_Text('RHS INPUT'!C350),CHAR(34),CHAR(44)))"),"""rhs_weap_m4a1_m203"",")</f>
        <v>"rhs_weap_m4a1_m203",</v>
      </c>
      <c r="B350" s="18" t="str">
        <f>if(isblank('RHS INPUT'!A350),,CONCATENATE("/*  ",'RHS INPUT'!A350,"  */"))</f>
        <v/>
      </c>
      <c r="C350" s="22" t="str">
        <f>if(isblank(A350),,if('RHS INPUT'!D350=1,Concatenate("class ",'RHS INPUT'!C350),))</f>
        <v>class rhs_weap_m4a1_m203</v>
      </c>
      <c r="D350" s="27" t="str">
        <f>if(ISBLANK(A350),,if('RHS INPUT'!D350=1,CONCATENATE("{quality = ",'RHS INPUT'!G350,"; price = ",Round('RHS INPUT'!M350),";};"),""))</f>
        <v>{quality = 2; price = 1050;};</v>
      </c>
      <c r="E350" t="str">
        <f>IFERROR(__xludf.DUMMYFUNCTION("if(ISBLANK(A350),, if('RHS INPUT'!E350=1,CONCATENATE(CHAR(34),To_Text('RHS INPUT'!C350),CHAR(34),CHAR(44)),""""))"),"""rhs_weap_m4a1_m203"",")</f>
        <v>"rhs_weap_m4a1_m203",</v>
      </c>
      <c r="F350" s="28" t="str">
        <f>IF(isblank(A350) ,Concatenate("&gt; ",'RHS INPUT'!A350) , if('RHS INPUT'!F350=1,CONCATENATE(round('RHS INPUT'!N350),Char(44)," ",'RHS INPUT'!C350),""))</f>
        <v>9, rhs_weap_m4a1_m203</v>
      </c>
    </row>
    <row r="351" ht="12.0" customHeight="1">
      <c r="A351" s="1" t="str">
        <f>IFERROR(__xludf.DUMMYFUNCTION("if(ISBLANK('RHS INPUT'!C351),,CONCATENATE(CHAR(34),To_Text('RHS INPUT'!C351),CHAR(34),CHAR(44)))"),"""rhs_weap_m4a1_m320"",")</f>
        <v>"rhs_weap_m4a1_m320",</v>
      </c>
      <c r="B351" s="18" t="str">
        <f>if(isblank('RHS INPUT'!A351),,CONCATENATE("/*  ",'RHS INPUT'!A351,"  */"))</f>
        <v/>
      </c>
      <c r="C351" s="22" t="str">
        <f>if(isblank(A351),,if('RHS INPUT'!D351=1,Concatenate("class ",'RHS INPUT'!C351),))</f>
        <v>class rhs_weap_m4a1_m320</v>
      </c>
      <c r="D351" s="27" t="str">
        <f>if(ISBLANK(A351),,if('RHS INPUT'!D351=1,CONCATENATE("{quality = ",'RHS INPUT'!G351,"; price = ",Round('RHS INPUT'!M351),";};"),""))</f>
        <v>{quality = 2; price = 1050;};</v>
      </c>
      <c r="E351" t="str">
        <f>IFERROR(__xludf.DUMMYFUNCTION("if(ISBLANK(A351),, if('RHS INPUT'!E351=1,CONCATENATE(CHAR(34),To_Text('RHS INPUT'!C351),CHAR(34),CHAR(44)),""""))"),"""rhs_weap_m4a1_m320"",")</f>
        <v>"rhs_weap_m4a1_m320",</v>
      </c>
      <c r="F351" s="28" t="str">
        <f>IF(isblank(A351) ,Concatenate("&gt; ",'RHS INPUT'!A351) , if('RHS INPUT'!F351=1,CONCATENATE(round('RHS INPUT'!N351),Char(44)," ",'RHS INPUT'!C351),""))</f>
        <v>9, rhs_weap_m4a1_m320</v>
      </c>
    </row>
    <row r="352" ht="12.0" customHeight="1">
      <c r="A352" s="1" t="str">
        <f>IFERROR(__xludf.DUMMYFUNCTION("if(ISBLANK('RHS INPUT'!C352),,CONCATENATE(CHAR(34),To_Text('RHS INPUT'!C352),CHAR(34),CHAR(44)))"),"""rhs_weap_m4a1_blockII"",")</f>
        <v>"rhs_weap_m4a1_blockII",</v>
      </c>
      <c r="B352" s="18" t="str">
        <f>if(isblank('RHS INPUT'!A352),,CONCATENATE("/*  ",'RHS INPUT'!A352,"  */"))</f>
        <v/>
      </c>
      <c r="C352" s="22" t="str">
        <f>if(isblank(A352),,if('RHS INPUT'!D352=1,Concatenate("class ",'RHS INPUT'!C352),))</f>
        <v>class rhs_weap_m4a1_blockII</v>
      </c>
      <c r="D352" s="27" t="str">
        <f>if(ISBLANK(A352),,if('RHS INPUT'!D352=1,CONCATENATE("{quality = ",'RHS INPUT'!G352,"; price = ",Round('RHS INPUT'!M352),";};"),""))</f>
        <v>{quality = 2; price = 1000;};</v>
      </c>
      <c r="E352" t="str">
        <f>IFERROR(__xludf.DUMMYFUNCTION("if(ISBLANK(A352),, if('RHS INPUT'!E352=1,CONCATENATE(CHAR(34),To_Text('RHS INPUT'!C352),CHAR(34),CHAR(44)),""""))"),"""rhs_weap_m4a1_blockII"",")</f>
        <v>"rhs_weap_m4a1_blockII",</v>
      </c>
      <c r="F352" s="28" t="str">
        <f>IF(isblank(A352) ,Concatenate("&gt; ",'RHS INPUT'!A352) , if('RHS INPUT'!F352=1,CONCATENATE(round('RHS INPUT'!N352),Char(44)," ",'RHS INPUT'!C352),""))</f>
        <v>9, rhs_weap_m4a1_blockII</v>
      </c>
    </row>
    <row r="353" ht="12.0" customHeight="1">
      <c r="A353" s="1" t="str">
        <f>IFERROR(__xludf.DUMMYFUNCTION("if(ISBLANK('RHS INPUT'!C353),,CONCATENATE(CHAR(34),To_Text('RHS INPUT'!C353),CHAR(34),CHAR(44)))"),"""rhs_weap_m4a1_blockII_grip2"",")</f>
        <v>"rhs_weap_m4a1_blockII_grip2",</v>
      </c>
      <c r="B353" s="18" t="str">
        <f>if(isblank('RHS INPUT'!A353),,CONCATENATE("/*  ",'RHS INPUT'!A353,"  */"))</f>
        <v/>
      </c>
      <c r="C353" s="22" t="str">
        <f>if(isblank(A353),,if('RHS INPUT'!D353=1,Concatenate("class ",'RHS INPUT'!C353),))</f>
        <v>class rhs_weap_m4a1_blockII_grip2</v>
      </c>
      <c r="D353" s="27" t="str">
        <f>if(ISBLANK(A353),,if('RHS INPUT'!D353=1,CONCATENATE("{quality = ",'RHS INPUT'!G353,"; price = ",Round('RHS INPUT'!M353),";};"),""))</f>
        <v>{quality = 2; price = 1100;};</v>
      </c>
      <c r="E353" t="str">
        <f>IFERROR(__xludf.DUMMYFUNCTION("if(ISBLANK(A353),, if('RHS INPUT'!E353=1,CONCATENATE(CHAR(34),To_Text('RHS INPUT'!C353),CHAR(34),CHAR(44)),""""))"),"""rhs_weap_m4a1_blockII_grip2"",")</f>
        <v>"rhs_weap_m4a1_blockII_grip2",</v>
      </c>
      <c r="F353" s="28" t="str">
        <f>IF(isblank(A353) ,Concatenate("&gt; ",'RHS INPUT'!A353) , if('RHS INPUT'!F353=1,CONCATENATE(round('RHS INPUT'!N353),Char(44)," ",'RHS INPUT'!C353),""))</f>
        <v>8, rhs_weap_m4a1_blockII_grip2</v>
      </c>
    </row>
    <row r="354" ht="12.0" customHeight="1">
      <c r="A354" s="1" t="str">
        <f>IFERROR(__xludf.DUMMYFUNCTION("if(ISBLANK('RHS INPUT'!C354),,CONCATENATE(CHAR(34),To_Text('RHS INPUT'!C354),CHAR(34),CHAR(44)))"),"""rhs_weap_m4a1_blockII_grip2_KAC"",")</f>
        <v>"rhs_weap_m4a1_blockII_grip2_KAC",</v>
      </c>
      <c r="B354" s="18" t="str">
        <f>if(isblank('RHS INPUT'!A354),,CONCATENATE("/*  ",'RHS INPUT'!A354,"  */"))</f>
        <v/>
      </c>
      <c r="C354" s="22" t="str">
        <f>if(isblank(A354),,if('RHS INPUT'!D354=1,Concatenate("class ",'RHS INPUT'!C354),))</f>
        <v>class rhs_weap_m4a1_blockII_grip2_KAC</v>
      </c>
      <c r="D354" s="27" t="str">
        <f>if(ISBLANK(A354),,if('RHS INPUT'!D354=1,CONCATENATE("{quality = ",'RHS INPUT'!G354,"; price = ",Round('RHS INPUT'!M354),";};"),""))</f>
        <v>{quality = 2; price = 1100;};</v>
      </c>
      <c r="E354" t="str">
        <f>IFERROR(__xludf.DUMMYFUNCTION("if(ISBLANK(A354),, if('RHS INPUT'!E354=1,CONCATENATE(CHAR(34),To_Text('RHS INPUT'!C354),CHAR(34),CHAR(44)),""""))"),"""rhs_weap_m4a1_blockII_grip2_KAC"",")</f>
        <v>"rhs_weap_m4a1_blockII_grip2_KAC",</v>
      </c>
      <c r="F354" s="28" t="str">
        <f>IF(isblank(A354) ,Concatenate("&gt; ",'RHS INPUT'!A354) , if('RHS INPUT'!F354=1,CONCATENATE(round('RHS INPUT'!N354),Char(44)," ",'RHS INPUT'!C354),""))</f>
        <v>8, rhs_weap_m4a1_blockII_grip2_KAC</v>
      </c>
    </row>
    <row r="355" ht="12.0" customHeight="1">
      <c r="A355" s="1" t="str">
        <f>IFERROR(__xludf.DUMMYFUNCTION("if(ISBLANK('RHS INPUT'!C355),,CONCATENATE(CHAR(34),To_Text('RHS INPUT'!C355),CHAR(34),CHAR(44)))"),"""rhs_weap_m4a1_blockII_KAC"",")</f>
        <v>"rhs_weap_m4a1_blockII_KAC",</v>
      </c>
      <c r="B355" s="18" t="str">
        <f>if(isblank('RHS INPUT'!A355),,CONCATENATE("/*  ",'RHS INPUT'!A355,"  */"))</f>
        <v/>
      </c>
      <c r="C355" s="22" t="str">
        <f>if(isblank(A355),,if('RHS INPUT'!D355=1,Concatenate("class ",'RHS INPUT'!C355),))</f>
        <v>class rhs_weap_m4a1_blockII_KAC</v>
      </c>
      <c r="D355" s="27" t="str">
        <f>if(ISBLANK(A355),,if('RHS INPUT'!D355=1,CONCATENATE("{quality = ",'RHS INPUT'!G355,"; price = ",Round('RHS INPUT'!M355),";};"),""))</f>
        <v>{quality = 2; price = 1000;};</v>
      </c>
      <c r="E355" t="str">
        <f>IFERROR(__xludf.DUMMYFUNCTION("if(ISBLANK(A355),, if('RHS INPUT'!E355=1,CONCATENATE(CHAR(34),To_Text('RHS INPUT'!C355),CHAR(34),CHAR(44)),""""))"),"""rhs_weap_m4a1_blockII_KAC"",")</f>
        <v>"rhs_weap_m4a1_blockII_KAC",</v>
      </c>
      <c r="F355" s="28" t="str">
        <f>IF(isblank(A355) ,Concatenate("&gt; ",'RHS INPUT'!A355) , if('RHS INPUT'!F355=1,CONCATENATE(round('RHS INPUT'!N355),Char(44)," ",'RHS INPUT'!C355),""))</f>
        <v>9, rhs_weap_m4a1_blockII_KAC</v>
      </c>
    </row>
    <row r="356" ht="12.0" customHeight="1">
      <c r="A356" s="1" t="str">
        <f>IFERROR(__xludf.DUMMYFUNCTION("if(ISBLANK('RHS INPUT'!C356),,CONCATENATE(CHAR(34),To_Text('RHS INPUT'!C356),CHAR(34),CHAR(44)))"),"""rhs_weap_m4a1_blockII_M203"",")</f>
        <v>"rhs_weap_m4a1_blockII_M203",</v>
      </c>
      <c r="B356" s="18" t="str">
        <f>if(isblank('RHS INPUT'!A356),,CONCATENATE("/*  ",'RHS INPUT'!A356,"  */"))</f>
        <v/>
      </c>
      <c r="C356" s="22" t="str">
        <f>if(isblank(A356),,if('RHS INPUT'!D356=1,Concatenate("class ",'RHS INPUT'!C356),))</f>
        <v>class rhs_weap_m4a1_blockII_M203</v>
      </c>
      <c r="D356" s="27" t="str">
        <f>if(ISBLANK(A356),,if('RHS INPUT'!D356=1,CONCATENATE("{quality = ",'RHS INPUT'!G356,"; price = ",Round('RHS INPUT'!M356),";};"),""))</f>
        <v>{quality = 2; price = 1150;};</v>
      </c>
      <c r="E356" t="str">
        <f>IFERROR(__xludf.DUMMYFUNCTION("if(ISBLANK(A356),, if('RHS INPUT'!E356=1,CONCATENATE(CHAR(34),To_Text('RHS INPUT'!C356),CHAR(34),CHAR(44)),""""))"),"""rhs_weap_m4a1_blockII_M203"",")</f>
        <v>"rhs_weap_m4a1_blockII_M203",</v>
      </c>
      <c r="F356" s="28" t="str">
        <f>IF(isblank(A356) ,Concatenate("&gt; ",'RHS INPUT'!A356) , if('RHS INPUT'!F356=1,CONCATENATE(round('RHS INPUT'!N356),Char(44)," ",'RHS INPUT'!C356),""))</f>
        <v>8, rhs_weap_m4a1_blockII_M203</v>
      </c>
    </row>
    <row r="357" ht="12.0" customHeight="1">
      <c r="A357" s="1" t="str">
        <f>IFERROR(__xludf.DUMMYFUNCTION("if(ISBLANK('RHS INPUT'!C357),,CONCATENATE(CHAR(34),To_Text('RHS INPUT'!C357),CHAR(34),CHAR(44)))"),"""rhs_weap_m4a1_carryhandle"",")</f>
        <v>"rhs_weap_m4a1_carryhandle",</v>
      </c>
      <c r="B357" s="18" t="str">
        <f>if(isblank('RHS INPUT'!A357),,CONCATENATE("/*  ",'RHS INPUT'!A357,"  */"))</f>
        <v/>
      </c>
      <c r="C357" s="22" t="str">
        <f>if(isblank(A357),,if('RHS INPUT'!D357=1,Concatenate("class ",'RHS INPUT'!C357),))</f>
        <v>class rhs_weap_m4a1_carryhandle</v>
      </c>
      <c r="D357" s="27" t="str">
        <f>if(ISBLANK(A357),,if('RHS INPUT'!D357=1,CONCATENATE("{quality = ",'RHS INPUT'!G357,"; price = ",Round('RHS INPUT'!M357),";};"),""))</f>
        <v>{quality = 2; price = 900;};</v>
      </c>
      <c r="E357" t="str">
        <f>IFERROR(__xludf.DUMMYFUNCTION("if(ISBLANK(A357),, if('RHS INPUT'!E357=1,CONCATENATE(CHAR(34),To_Text('RHS INPUT'!C357),CHAR(34),CHAR(44)),""""))"),"""rhs_weap_m4a1_carryhandle"",")</f>
        <v>"rhs_weap_m4a1_carryhandle",</v>
      </c>
      <c r="F357" s="28" t="str">
        <f>IF(isblank(A357) ,Concatenate("&gt; ",'RHS INPUT'!A357) , if('RHS INPUT'!F357=1,CONCATENATE(round('RHS INPUT'!N357),Char(44)," ",'RHS INPUT'!C357),""))</f>
        <v>10, rhs_weap_m4a1_carryhandle</v>
      </c>
    </row>
    <row r="358" ht="12.0" customHeight="1">
      <c r="A358" s="1" t="str">
        <f>IFERROR(__xludf.DUMMYFUNCTION("if(ISBLANK('RHS INPUT'!C358),,CONCATENATE(CHAR(34),To_Text('RHS INPUT'!C358),CHAR(34),CHAR(44)))"),"""rhs_weap_m4a1_carryhandle_grip"",")</f>
        <v>"rhs_weap_m4a1_carryhandle_grip",</v>
      </c>
      <c r="B358" s="18" t="str">
        <f>if(isblank('RHS INPUT'!A358),,CONCATENATE("/*  ",'RHS INPUT'!A358,"  */"))</f>
        <v/>
      </c>
      <c r="C358" s="22" t="str">
        <f>if(isblank(A358),,if('RHS INPUT'!D358=1,Concatenate("class ",'RHS INPUT'!C358),))</f>
        <v>class rhs_weap_m4a1_carryhandle_grip</v>
      </c>
      <c r="D358" s="27" t="str">
        <f>if(ISBLANK(A358),,if('RHS INPUT'!D358=1,CONCATENATE("{quality = ",'RHS INPUT'!G358,"; price = ",Round('RHS INPUT'!M358),";};"),""))</f>
        <v>{quality = 2; price = 1000;};</v>
      </c>
      <c r="E358" t="str">
        <f>IFERROR(__xludf.DUMMYFUNCTION("if(ISBLANK(A358),, if('RHS INPUT'!E358=1,CONCATENATE(CHAR(34),To_Text('RHS INPUT'!C358),CHAR(34),CHAR(44)),""""))"),"""rhs_weap_m4a1_carryhandle_grip"",")</f>
        <v>"rhs_weap_m4a1_carryhandle_grip",</v>
      </c>
      <c r="F358" s="28" t="str">
        <f>IF(isblank(A358) ,Concatenate("&gt; ",'RHS INPUT'!A358) , if('RHS INPUT'!F358=1,CONCATENATE(round('RHS INPUT'!N358),Char(44)," ",'RHS INPUT'!C358),""))</f>
        <v>9, rhs_weap_m4a1_carryhandle_grip</v>
      </c>
    </row>
    <row r="359" ht="12.0" customHeight="1">
      <c r="A359" s="1" t="str">
        <f>IFERROR(__xludf.DUMMYFUNCTION("if(ISBLANK('RHS INPUT'!C359),,CONCATENATE(CHAR(34),To_Text('RHS INPUT'!C359),CHAR(34),CHAR(44)))"),"""rhs_weap_m4a1_carryhandle_grip2"",")</f>
        <v>"rhs_weap_m4a1_carryhandle_grip2",</v>
      </c>
      <c r="B359" s="18" t="str">
        <f>if(isblank('RHS INPUT'!A359),,CONCATENATE("/*  ",'RHS INPUT'!A359,"  */"))</f>
        <v/>
      </c>
      <c r="C359" s="22" t="str">
        <f>if(isblank(A359),,if('RHS INPUT'!D359=1,Concatenate("class ",'RHS INPUT'!C359),))</f>
        <v>class rhs_weap_m4a1_carryhandle_grip2</v>
      </c>
      <c r="D359" s="27" t="str">
        <f>if(ISBLANK(A359),,if('RHS INPUT'!D359=1,CONCATENATE("{quality = ",'RHS INPUT'!G359,"; price = ",Round('RHS INPUT'!M359),";};"),""))</f>
        <v>{quality = 2; price = 1000;};</v>
      </c>
      <c r="E359" t="str">
        <f>IFERROR(__xludf.DUMMYFUNCTION("if(ISBLANK(A359),, if('RHS INPUT'!E359=1,CONCATENATE(CHAR(34),To_Text('RHS INPUT'!C359),CHAR(34),CHAR(44)),""""))"),"""rhs_weap_m4a1_carryhandle_grip2"",")</f>
        <v>"rhs_weap_m4a1_carryhandle_grip2",</v>
      </c>
      <c r="F359" s="28" t="str">
        <f>IF(isblank(A359) ,Concatenate("&gt; ",'RHS INPUT'!A359) , if('RHS INPUT'!F359=1,CONCATENATE(round('RHS INPUT'!N359),Char(44)," ",'RHS INPUT'!C359),""))</f>
        <v>9, rhs_weap_m4a1_carryhandle_grip2</v>
      </c>
    </row>
    <row r="360" ht="12.0" customHeight="1">
      <c r="A360" s="1" t="str">
        <f>IFERROR(__xludf.DUMMYFUNCTION("if(ISBLANK('RHS INPUT'!C360),,CONCATENATE(CHAR(34),To_Text('RHS INPUT'!C360),CHAR(34),CHAR(44)))"),"""rhs_weap_m4a1_carryhandle_m203"",")</f>
        <v>"rhs_weap_m4a1_carryhandle_m203",</v>
      </c>
      <c r="B360" s="18" t="str">
        <f>if(isblank('RHS INPUT'!A360),,CONCATENATE("/*  ",'RHS INPUT'!A360,"  */"))</f>
        <v/>
      </c>
      <c r="C360" s="22" t="str">
        <f>if(isblank(A360),,if('RHS INPUT'!D360=1,Concatenate("class ",'RHS INPUT'!C360),))</f>
        <v>class rhs_weap_m4a1_carryhandle_m203</v>
      </c>
      <c r="D360" s="27" t="str">
        <f>if(ISBLANK(A360),,if('RHS INPUT'!D360=1,CONCATENATE("{quality = ",'RHS INPUT'!G360,"; price = ",Round('RHS INPUT'!M360),";};"),""))</f>
        <v>{quality = 2; price = 1050;};</v>
      </c>
      <c r="E360" t="str">
        <f>IFERROR(__xludf.DUMMYFUNCTION("if(ISBLANK(A360),, if('RHS INPUT'!E360=1,CONCATENATE(CHAR(34),To_Text('RHS INPUT'!C360),CHAR(34),CHAR(44)),""""))"),"""rhs_weap_m4a1_carryhandle_m203"",")</f>
        <v>"rhs_weap_m4a1_carryhandle_m203",</v>
      </c>
      <c r="F360" s="28" t="str">
        <f>IF(isblank(A360) ,Concatenate("&gt; ",'RHS INPUT'!A360) , if('RHS INPUT'!F360=1,CONCATENATE(round('RHS INPUT'!N360),Char(44)," ",'RHS INPUT'!C360),""))</f>
        <v>9, rhs_weap_m4a1_carryhandle_m203</v>
      </c>
    </row>
    <row r="361" ht="12.0" customHeight="1">
      <c r="A361" s="1" t="str">
        <f>IFERROR(__xludf.DUMMYFUNCTION("if(ISBLANK('RHS INPUT'!C361),,CONCATENATE(CHAR(34),To_Text('RHS INPUT'!C361),CHAR(34),CHAR(44)))"),"""rhs_weap_m4a1_carryhandle_pmag"",")</f>
        <v>"rhs_weap_m4a1_carryhandle_pmag",</v>
      </c>
      <c r="B361" s="18" t="str">
        <f>if(isblank('RHS INPUT'!A361),,CONCATENATE("/*  ",'RHS INPUT'!A361,"  */"))</f>
        <v/>
      </c>
      <c r="C361" s="22" t="str">
        <f>if(isblank(A361),,if('RHS INPUT'!D361=1,Concatenate("class ",'RHS INPUT'!C361),))</f>
        <v>class rhs_weap_m4a1_carryhandle_pmag</v>
      </c>
      <c r="D361" s="27" t="str">
        <f>if(ISBLANK(A361),,if('RHS INPUT'!D361=1,CONCATENATE("{quality = ",'RHS INPUT'!G361,"; price = ",Round('RHS INPUT'!M361),";};"),""))</f>
        <v>{quality = 2; price = 900;};</v>
      </c>
      <c r="E361" t="str">
        <f>IFERROR(__xludf.DUMMYFUNCTION("if(ISBLANK(A361),, if('RHS INPUT'!E361=1,CONCATENATE(CHAR(34),To_Text('RHS INPUT'!C361),CHAR(34),CHAR(44)),""""))"),"""rhs_weap_m4a1_carryhandle_pmag"",")</f>
        <v>"rhs_weap_m4a1_carryhandle_pmag",</v>
      </c>
      <c r="F361" s="28" t="str">
        <f>IF(isblank(A361) ,Concatenate("&gt; ",'RHS INPUT'!A361) , if('RHS INPUT'!F361=1,CONCATENATE(round('RHS INPUT'!N361),Char(44)," ",'RHS INPUT'!C361),""))</f>
        <v>10, rhs_weap_m4a1_carryhandle_pmag</v>
      </c>
    </row>
    <row r="362" ht="12.0" customHeight="1">
      <c r="A362" s="1" t="str">
        <f>IFERROR(__xludf.DUMMYFUNCTION("if(ISBLANK('RHS INPUT'!C362),,CONCATENATE(CHAR(34),To_Text('RHS INPUT'!C362),CHAR(34),CHAR(44)))"),"""rhs_weap_M590_5RD"",")</f>
        <v>"rhs_weap_M590_5RD",</v>
      </c>
      <c r="B362" s="18" t="str">
        <f>if(isblank('RHS INPUT'!A362),,CONCATENATE("/*  ",'RHS INPUT'!A362,"  */"))</f>
        <v/>
      </c>
      <c r="C362" s="22" t="str">
        <f>if(isblank(A362),,if('RHS INPUT'!D362=1,Concatenate("class ",'RHS INPUT'!C362),))</f>
        <v>class rhs_weap_M590_5RD</v>
      </c>
      <c r="D362" s="27" t="str">
        <f>if(ISBLANK(A362),,if('RHS INPUT'!D362=1,CONCATENATE("{quality = ",'RHS INPUT'!G362,"; price = ",Round('RHS INPUT'!M362),";};"),""))</f>
        <v>{quality = 2; price = 800;};</v>
      </c>
      <c r="E362" t="str">
        <f>IFERROR(__xludf.DUMMYFUNCTION("if(ISBLANK(A362),, if('RHS INPUT'!E362=1,CONCATENATE(CHAR(34),To_Text('RHS INPUT'!C362),CHAR(34),CHAR(44)),""""))"),"""rhs_weap_M590_5RD"",")</f>
        <v>"rhs_weap_M590_5RD",</v>
      </c>
      <c r="F362" s="28" t="str">
        <f>IF(isblank(A362) ,Concatenate("&gt; ",'RHS INPUT'!A362) , if('RHS INPUT'!F362=1,CONCATENATE(round('RHS INPUT'!N362),Char(44)," ",'RHS INPUT'!C362),""))</f>
        <v>11, rhs_weap_M590_5RD</v>
      </c>
    </row>
    <row r="363" ht="12.0" customHeight="1">
      <c r="A363" s="1" t="str">
        <f>IFERROR(__xludf.DUMMYFUNCTION("if(ISBLANK('RHS INPUT'!C363),,CONCATENATE(CHAR(34),To_Text('RHS INPUT'!C363),CHAR(34),CHAR(44)))"),"""rhs_weap_M590_8RD"",")</f>
        <v>"rhs_weap_M590_8RD",</v>
      </c>
      <c r="B363" s="18" t="str">
        <f>if(isblank('RHS INPUT'!A363),,CONCATENATE("/*  ",'RHS INPUT'!A363,"  */"))</f>
        <v/>
      </c>
      <c r="C363" s="22" t="str">
        <f>if(isblank(A363),,if('RHS INPUT'!D363=1,Concatenate("class ",'RHS INPUT'!C363),))</f>
        <v>class rhs_weap_M590_8RD</v>
      </c>
      <c r="D363" s="27" t="str">
        <f>if(ISBLANK(A363),,if('RHS INPUT'!D363=1,CONCATENATE("{quality = ",'RHS INPUT'!G363,"; price = ",Round('RHS INPUT'!M363),";};"),""))</f>
        <v>{quality = 2; price = 800;};</v>
      </c>
      <c r="E363" t="str">
        <f>IFERROR(__xludf.DUMMYFUNCTION("if(ISBLANK(A363),, if('RHS INPUT'!E363=1,CONCATENATE(CHAR(34),To_Text('RHS INPUT'!C363),CHAR(34),CHAR(44)),""""))"),"""rhs_weap_M590_8RD"",")</f>
        <v>"rhs_weap_M590_8RD",</v>
      </c>
      <c r="F363" s="28" t="str">
        <f>IF(isblank(A363) ,Concatenate("&gt; ",'RHS INPUT'!A363) , if('RHS INPUT'!F363=1,CONCATENATE(round('RHS INPUT'!N363),Char(44)," ",'RHS INPUT'!C363),""))</f>
        <v>11, rhs_weap_M590_8RD</v>
      </c>
    </row>
    <row r="364" ht="12.0" customHeight="1">
      <c r="A364" s="1" t="str">
        <f>IFERROR(__xludf.DUMMYFUNCTION("if(ISBLANK('RHS INPUT'!C364),,CONCATENATE(CHAR(34),To_Text('RHS INPUT'!C364),CHAR(34),CHAR(44)))"),"""rhs_weap_mk18"",")</f>
        <v>"rhs_weap_mk18",</v>
      </c>
      <c r="B364" s="18" t="str">
        <f>if(isblank('RHS INPUT'!A364),,CONCATENATE("/*  ",'RHS INPUT'!A364,"  */"))</f>
        <v/>
      </c>
      <c r="C364" s="22" t="str">
        <f>if(isblank(A364),,if('RHS INPUT'!D364=1,Concatenate("class ",'RHS INPUT'!C364),))</f>
        <v>class rhs_weap_mk18</v>
      </c>
      <c r="D364" s="27" t="str">
        <f>if(ISBLANK(A364),,if('RHS INPUT'!D364=1,CONCATENATE("{quality = ",'RHS INPUT'!G364,"; price = ",Round('RHS INPUT'!M364),";};"),""))</f>
        <v>{quality = 2; price = 1000;};</v>
      </c>
      <c r="E364" t="str">
        <f>IFERROR(__xludf.DUMMYFUNCTION("if(ISBLANK(A364),, if('RHS INPUT'!E364=1,CONCATENATE(CHAR(34),To_Text('RHS INPUT'!C364),CHAR(34),CHAR(44)),""""))"),"""rhs_weap_mk18"",")</f>
        <v>"rhs_weap_mk18",</v>
      </c>
      <c r="F364" s="28" t="str">
        <f>IF(isblank(A364) ,Concatenate("&gt; ",'RHS INPUT'!A364) , if('RHS INPUT'!F364=1,CONCATENATE(round('RHS INPUT'!N364),Char(44)," ",'RHS INPUT'!C364),""))</f>
        <v>9, rhs_weap_mk18</v>
      </c>
    </row>
    <row r="365" ht="12.0" customHeight="1">
      <c r="A365" s="1" t="str">
        <f>IFERROR(__xludf.DUMMYFUNCTION("if(ISBLANK('RHS INPUT'!C365),,CONCATENATE(CHAR(34),To_Text('RHS INPUT'!C365),CHAR(34),CHAR(44)))"),"""rhs_weap_mk18_grip2"",")</f>
        <v>"rhs_weap_mk18_grip2",</v>
      </c>
      <c r="B365" s="18" t="str">
        <f>if(isblank('RHS INPUT'!A365),,CONCATENATE("/*  ",'RHS INPUT'!A365,"  */"))</f>
        <v/>
      </c>
      <c r="C365" s="22" t="str">
        <f>if(isblank(A365),,if('RHS INPUT'!D365=1,Concatenate("class ",'RHS INPUT'!C365),))</f>
        <v>class rhs_weap_mk18_grip2</v>
      </c>
      <c r="D365" s="27" t="str">
        <f>if(ISBLANK(A365),,if('RHS INPUT'!D365=1,CONCATENATE("{quality = ",'RHS INPUT'!G365,"; price = ",Round('RHS INPUT'!M365),";};"),""))</f>
        <v>{quality = 2; price = 1100;};</v>
      </c>
      <c r="E365" t="str">
        <f>IFERROR(__xludf.DUMMYFUNCTION("if(ISBLANK(A365),, if('RHS INPUT'!E365=1,CONCATENATE(CHAR(34),To_Text('RHS INPUT'!C365),CHAR(34),CHAR(44)),""""))"),"""rhs_weap_mk18_grip2"",")</f>
        <v>"rhs_weap_mk18_grip2",</v>
      </c>
      <c r="F365" s="28" t="str">
        <f>IF(isblank(A365) ,Concatenate("&gt; ",'RHS INPUT'!A365) , if('RHS INPUT'!F365=1,CONCATENATE(round('RHS INPUT'!N365),Char(44)," ",'RHS INPUT'!C365),""))</f>
        <v>8, rhs_weap_mk18_grip2</v>
      </c>
    </row>
    <row r="366" ht="12.0" customHeight="1">
      <c r="A366" s="1" t="str">
        <f>IFERROR(__xludf.DUMMYFUNCTION("if(ISBLANK('RHS INPUT'!C366),,CONCATENATE(CHAR(34),To_Text('RHS INPUT'!C366),CHAR(34),CHAR(44)))"),"""rhs_weap_mk18_grip2_KAC"",")</f>
        <v>"rhs_weap_mk18_grip2_KAC",</v>
      </c>
      <c r="B366" s="18" t="str">
        <f>if(isblank('RHS INPUT'!A366),,CONCATENATE("/*  ",'RHS INPUT'!A366,"  */"))</f>
        <v/>
      </c>
      <c r="C366" s="22" t="str">
        <f>if(isblank(A366),,if('RHS INPUT'!D366=1,Concatenate("class ",'RHS INPUT'!C366),))</f>
        <v>class rhs_weap_mk18_grip2_KAC</v>
      </c>
      <c r="D366" s="27" t="str">
        <f>if(ISBLANK(A366),,if('RHS INPUT'!D366=1,CONCATENATE("{quality = ",'RHS INPUT'!G366,"; price = ",Round('RHS INPUT'!M366),";};"),""))</f>
        <v>{quality = 2; price = 1100;};</v>
      </c>
      <c r="E366" t="str">
        <f>IFERROR(__xludf.DUMMYFUNCTION("if(ISBLANK(A366),, if('RHS INPUT'!E366=1,CONCATENATE(CHAR(34),To_Text('RHS INPUT'!C366),CHAR(34),CHAR(44)),""""))"),"""rhs_weap_mk18_grip2_KAC"",")</f>
        <v>"rhs_weap_mk18_grip2_KAC",</v>
      </c>
      <c r="F366" s="28" t="str">
        <f>IF(isblank(A366) ,Concatenate("&gt; ",'RHS INPUT'!A366) , if('RHS INPUT'!F366=1,CONCATENATE(round('RHS INPUT'!N366),Char(44)," ",'RHS INPUT'!C366),""))</f>
        <v>8, rhs_weap_mk18_grip2_KAC</v>
      </c>
    </row>
    <row r="367" ht="12.0" customHeight="1">
      <c r="A367" s="1" t="str">
        <f>IFERROR(__xludf.DUMMYFUNCTION("if(ISBLANK('RHS INPUT'!C367),,CONCATENATE(CHAR(34),To_Text('RHS INPUT'!C367),CHAR(34),CHAR(44)))"),"""rhs_weap_mk18_KAC"",")</f>
        <v>"rhs_weap_mk18_KAC",</v>
      </c>
      <c r="B367" s="18" t="str">
        <f>if(isblank('RHS INPUT'!A367),,CONCATENATE("/*  ",'RHS INPUT'!A367,"  */"))</f>
        <v/>
      </c>
      <c r="C367" s="22" t="str">
        <f>if(isblank(A367),,if('RHS INPUT'!D367=1,Concatenate("class ",'RHS INPUT'!C367),))</f>
        <v>class rhs_weap_mk18_KAC</v>
      </c>
      <c r="D367" s="27" t="str">
        <f>if(ISBLANK(A367),,if('RHS INPUT'!D367=1,CONCATENATE("{quality = ",'RHS INPUT'!G367,"; price = ",Round('RHS INPUT'!M367),";};"),""))</f>
        <v>{quality = 2; price = 1000;};</v>
      </c>
      <c r="E367" t="str">
        <f>IFERROR(__xludf.DUMMYFUNCTION("if(ISBLANK(A367),, if('RHS INPUT'!E367=1,CONCATENATE(CHAR(34),To_Text('RHS INPUT'!C367),CHAR(34),CHAR(44)),""""))"),"""rhs_weap_mk18_KAC"",")</f>
        <v>"rhs_weap_mk18_KAC",</v>
      </c>
      <c r="F367" s="28" t="str">
        <f>IF(isblank(A367) ,Concatenate("&gt; ",'RHS INPUT'!A367) , if('RHS INPUT'!F367=1,CONCATENATE(round('RHS INPUT'!N367),Char(44)," ",'RHS INPUT'!C367),""))</f>
        <v>9, rhs_weap_mk18_KAC</v>
      </c>
    </row>
    <row r="368" ht="12.0" customHeight="1">
      <c r="A368" s="1" t="str">
        <f>IFERROR(__xludf.DUMMYFUNCTION("if(ISBLANK('RHS INPUT'!C368),,CONCATENATE(CHAR(34),To_Text('RHS INPUT'!C368),CHAR(34),CHAR(44)))"),"""rhs_weap_mk18_m320"",")</f>
        <v>"rhs_weap_mk18_m320",</v>
      </c>
      <c r="B368" s="18" t="str">
        <f>if(isblank('RHS INPUT'!A368),,CONCATENATE("/*  ",'RHS INPUT'!A368,"  */"))</f>
        <v/>
      </c>
      <c r="C368" s="22" t="str">
        <f>if(isblank(A368),,if('RHS INPUT'!D368=1,Concatenate("class ",'RHS INPUT'!C368),))</f>
        <v>class rhs_weap_mk18_m320</v>
      </c>
      <c r="D368" s="27" t="str">
        <f>if(ISBLANK(A368),,if('RHS INPUT'!D368=1,CONCATENATE("{quality = ",'RHS INPUT'!G368,"; price = ",Round('RHS INPUT'!M368),";};"),""))</f>
        <v>{quality = 2; price = 1150;};</v>
      </c>
      <c r="E368" t="str">
        <f>IFERROR(__xludf.DUMMYFUNCTION("if(ISBLANK(A368),, if('RHS INPUT'!E368=1,CONCATENATE(CHAR(34),To_Text('RHS INPUT'!C368),CHAR(34),CHAR(44)),""""))"),"""rhs_weap_mk18_m320"",")</f>
        <v>"rhs_weap_mk18_m320",</v>
      </c>
      <c r="F368" s="28" t="str">
        <f>IF(isblank(A368) ,Concatenate("&gt; ",'RHS INPUT'!A368) , if('RHS INPUT'!F368=1,CONCATENATE(round('RHS INPUT'!N368),Char(44)," ",'RHS INPUT'!C368),""))</f>
        <v>8, rhs_weap_mk18_m320</v>
      </c>
    </row>
    <row r="369" ht="12.0" customHeight="1">
      <c r="A369" s="1" t="str">
        <f>IFERROR(__xludf.DUMMYFUNCTION("if(ISBLANK('RHS INPUT'!C369),,CONCATENATE(CHAR(34),To_Text('RHS INPUT'!C369),CHAR(34),CHAR(44)))"),"""rhs_weap_m16a4"",")</f>
        <v>"rhs_weap_m16a4",</v>
      </c>
      <c r="B369" s="18" t="str">
        <f>if(isblank('RHS INPUT'!A369),,CONCATENATE("/*  ",'RHS INPUT'!A369,"  */"))</f>
        <v/>
      </c>
      <c r="C369" s="22" t="str">
        <f>if(isblank(A369),,if('RHS INPUT'!D369=1,Concatenate("class ",'RHS INPUT'!C369),))</f>
        <v>class rhs_weap_m16a4</v>
      </c>
      <c r="D369" s="27" t="str">
        <f>if(ISBLANK(A369),,if('RHS INPUT'!D369=1,CONCATENATE("{quality = ",'RHS INPUT'!G369,"; price = ",Round('RHS INPUT'!M369),";};"),""))</f>
        <v>{quality = 2; price = 1000;};</v>
      </c>
      <c r="E369" t="str">
        <f>IFERROR(__xludf.DUMMYFUNCTION("if(ISBLANK(A369),, if('RHS INPUT'!E369=1,CONCATENATE(CHAR(34),To_Text('RHS INPUT'!C369),CHAR(34),CHAR(44)),""""))"),"""rhs_weap_m16a4"",")</f>
        <v>"rhs_weap_m16a4",</v>
      </c>
      <c r="F369" s="28" t="str">
        <f>IF(isblank(A369) ,Concatenate("&gt; ",'RHS INPUT'!A369) , if('RHS INPUT'!F369=1,CONCATENATE(round('RHS INPUT'!N369),Char(44)," ",'RHS INPUT'!C369),""))</f>
        <v>9, rhs_weap_m16a4</v>
      </c>
    </row>
    <row r="370" ht="12.0" customHeight="1">
      <c r="A370" s="1" t="str">
        <f>IFERROR(__xludf.DUMMYFUNCTION("if(ISBLANK('RHS INPUT'!C370),,CONCATENATE(CHAR(34),To_Text('RHS INPUT'!C370),CHAR(34),CHAR(44)))"),"""rhs_weap_m16a4_grip"",")</f>
        <v>"rhs_weap_m16a4_grip",</v>
      </c>
      <c r="B370" s="18" t="str">
        <f>if(isblank('RHS INPUT'!A370),,CONCATENATE("/*  ",'RHS INPUT'!A370,"  */"))</f>
        <v/>
      </c>
      <c r="C370" s="22" t="str">
        <f>if(isblank(A370),,if('RHS INPUT'!D370=1,Concatenate("class ",'RHS INPUT'!C370),))</f>
        <v>class rhs_weap_m16a4_grip</v>
      </c>
      <c r="D370" s="27" t="str">
        <f>if(ISBLANK(A370),,if('RHS INPUT'!D370=1,CONCATENATE("{quality = ",'RHS INPUT'!G370,"; price = ",Round('RHS INPUT'!M370),";};"),""))</f>
        <v>{quality = 2; price = 1100;};</v>
      </c>
      <c r="E370" t="str">
        <f>IFERROR(__xludf.DUMMYFUNCTION("if(ISBLANK(A370),, if('RHS INPUT'!E370=1,CONCATENATE(CHAR(34),To_Text('RHS INPUT'!C370),CHAR(34),CHAR(44)),""""))"),"""rhs_weap_m16a4_grip"",")</f>
        <v>"rhs_weap_m16a4_grip",</v>
      </c>
      <c r="F370" s="28" t="str">
        <f>IF(isblank(A370) ,Concatenate("&gt; ",'RHS INPUT'!A370) , if('RHS INPUT'!F370=1,CONCATENATE(round('RHS INPUT'!N370),Char(44)," ",'RHS INPUT'!C370),""))</f>
        <v>8, rhs_weap_m16a4_grip</v>
      </c>
    </row>
    <row r="371" ht="12.0" customHeight="1">
      <c r="A371" s="1" t="str">
        <f>IFERROR(__xludf.DUMMYFUNCTION("if(ISBLANK('RHS INPUT'!C371),,CONCATENATE(CHAR(34),To_Text('RHS INPUT'!C371),CHAR(34),CHAR(44)))"),"""rhs_weap_m16a4_carryhandle"",")</f>
        <v>"rhs_weap_m16a4_carryhandle",</v>
      </c>
      <c r="B371" s="18" t="str">
        <f>if(isblank('RHS INPUT'!A371),,CONCATENATE("/*  ",'RHS INPUT'!A371,"  */"))</f>
        <v/>
      </c>
      <c r="C371" s="22" t="str">
        <f>if(isblank(A371),,if('RHS INPUT'!D371=1,Concatenate("class ",'RHS INPUT'!C371),))</f>
        <v>class rhs_weap_m16a4_carryhandle</v>
      </c>
      <c r="D371" s="27" t="str">
        <f>if(ISBLANK(A371),,if('RHS INPUT'!D371=1,CONCATENATE("{quality = ",'RHS INPUT'!G371,"; price = ",Round('RHS INPUT'!M371),";};"),""))</f>
        <v>{quality = 2; price = 1000;};</v>
      </c>
      <c r="E371" t="str">
        <f>IFERROR(__xludf.DUMMYFUNCTION("if(ISBLANK(A371),, if('RHS INPUT'!E371=1,CONCATENATE(CHAR(34),To_Text('RHS INPUT'!C371),CHAR(34),CHAR(44)),""""))"),"""rhs_weap_m16a4_carryhandle"",")</f>
        <v>"rhs_weap_m16a4_carryhandle",</v>
      </c>
      <c r="F371" s="28" t="str">
        <f>IF(isblank(A371) ,Concatenate("&gt; ",'RHS INPUT'!A371) , if('RHS INPUT'!F371=1,CONCATENATE(round('RHS INPUT'!N371),Char(44)," ",'RHS INPUT'!C371),""))</f>
        <v>9, rhs_weap_m16a4_carryhandle</v>
      </c>
    </row>
    <row r="372" ht="12.0" customHeight="1">
      <c r="A372" s="1" t="str">
        <f>IFERROR(__xludf.DUMMYFUNCTION("if(ISBLANK('RHS INPUT'!C372),,CONCATENATE(CHAR(34),To_Text('RHS INPUT'!C372),CHAR(34),CHAR(44)))"),"""rhs_weap_m16a4_carryhandle_pmag"",")</f>
        <v>"rhs_weap_m16a4_carryhandle_pmag",</v>
      </c>
      <c r="B372" s="18" t="str">
        <f>if(isblank('RHS INPUT'!A372),,CONCATENATE("/*  ",'RHS INPUT'!A372,"  */"))</f>
        <v/>
      </c>
      <c r="C372" s="22" t="str">
        <f>if(isblank(A372),,if('RHS INPUT'!D372=1,Concatenate("class ",'RHS INPUT'!C372),))</f>
        <v>class rhs_weap_m16a4_carryhandle_pmag</v>
      </c>
      <c r="D372" s="27" t="str">
        <f>if(ISBLANK(A372),,if('RHS INPUT'!D372=1,CONCATENATE("{quality = ",'RHS INPUT'!G372,"; price = ",Round('RHS INPUT'!M372),";};"),""))</f>
        <v>{quality = 2; price = 1000;};</v>
      </c>
      <c r="E372" t="str">
        <f>IFERROR(__xludf.DUMMYFUNCTION("if(ISBLANK(A372),, if('RHS INPUT'!E372=1,CONCATENATE(CHAR(34),To_Text('RHS INPUT'!C372),CHAR(34),CHAR(44)),""""))"),"""rhs_weap_m16a4_carryhandle_pmag"",")</f>
        <v>"rhs_weap_m16a4_carryhandle_pmag",</v>
      </c>
      <c r="F372" s="28" t="str">
        <f>IF(isblank(A372) ,Concatenate("&gt; ",'RHS INPUT'!A372) , if('RHS INPUT'!F372=1,CONCATENATE(round('RHS INPUT'!N372),Char(44)," ",'RHS INPUT'!C372),""))</f>
        <v>9, rhs_weap_m16a4_carryhandle_pmag</v>
      </c>
    </row>
    <row r="373" ht="12.0" customHeight="1">
      <c r="A373" s="1" t="str">
        <f>IFERROR(__xludf.DUMMYFUNCTION("if(ISBLANK('RHS INPUT'!C373),,CONCATENATE(CHAR(34),To_Text('RHS INPUT'!C373),CHAR(34),CHAR(44)))"),"""rhs_weap_m16a4_carryhandle_grip"",")</f>
        <v>"rhs_weap_m16a4_carryhandle_grip",</v>
      </c>
      <c r="B373" s="18" t="str">
        <f>if(isblank('RHS INPUT'!A373),,CONCATENATE("/*  ",'RHS INPUT'!A373,"  */"))</f>
        <v/>
      </c>
      <c r="C373" s="22" t="str">
        <f>if(isblank(A373),,if('RHS INPUT'!D373=1,Concatenate("class ",'RHS INPUT'!C373),))</f>
        <v>class rhs_weap_m16a4_carryhandle_grip</v>
      </c>
      <c r="D373" s="27" t="str">
        <f>if(ISBLANK(A373),,if('RHS INPUT'!D373=1,CONCATENATE("{quality = ",'RHS INPUT'!G373,"; price = ",Round('RHS INPUT'!M373),";};"),""))</f>
        <v>{quality = 2; price = 1100;};</v>
      </c>
      <c r="E373" t="str">
        <f>IFERROR(__xludf.DUMMYFUNCTION("if(ISBLANK(A373),, if('RHS INPUT'!E373=1,CONCATENATE(CHAR(34),To_Text('RHS INPUT'!C373),CHAR(34),CHAR(44)),""""))"),"""rhs_weap_m16a4_carryhandle_grip"",")</f>
        <v>"rhs_weap_m16a4_carryhandle_grip",</v>
      </c>
      <c r="F373" s="28" t="str">
        <f>IF(isblank(A373) ,Concatenate("&gt; ",'RHS INPUT'!A373) , if('RHS INPUT'!F373=1,CONCATENATE(round('RHS INPUT'!N373),Char(44)," ",'RHS INPUT'!C373),""))</f>
        <v>8, rhs_weap_m16a4_carryhandle_grip</v>
      </c>
    </row>
    <row r="374" ht="12.0" customHeight="1">
      <c r="A374" s="1" t="str">
        <f>IFERROR(__xludf.DUMMYFUNCTION("if(ISBLANK('RHS INPUT'!C374),,CONCATENATE(CHAR(34),To_Text('RHS INPUT'!C374),CHAR(34),CHAR(44)))"),"""rhs_weap_m16a4_carryhandle_grip_pmag"",")</f>
        <v>"rhs_weap_m16a4_carryhandle_grip_pmag",</v>
      </c>
      <c r="B374" s="18" t="str">
        <f>if(isblank('RHS INPUT'!A374),,CONCATENATE("/*  ",'RHS INPUT'!A374,"  */"))</f>
        <v/>
      </c>
      <c r="C374" s="22" t="str">
        <f>if(isblank(A374),,if('RHS INPUT'!D374=1,Concatenate("class ",'RHS INPUT'!C374),))</f>
        <v>class rhs_weap_m16a4_carryhandle_grip_pmag</v>
      </c>
      <c r="D374" s="27" t="str">
        <f>if(ISBLANK(A374),,if('RHS INPUT'!D374=1,CONCATENATE("{quality = ",'RHS INPUT'!G374,"; price = ",Round('RHS INPUT'!M374),";};"),""))</f>
        <v>{quality = 2; price = 1100;};</v>
      </c>
      <c r="E374" t="str">
        <f>IFERROR(__xludf.DUMMYFUNCTION("if(ISBLANK(A374),, if('RHS INPUT'!E374=1,CONCATENATE(CHAR(34),To_Text('RHS INPUT'!C374),CHAR(34),CHAR(44)),""""))"),"""rhs_weap_m16a4_carryhandle_grip_pmag"",")</f>
        <v>"rhs_weap_m16a4_carryhandle_grip_pmag",</v>
      </c>
      <c r="F374" s="28" t="str">
        <f>IF(isblank(A374) ,Concatenate("&gt; ",'RHS INPUT'!A374) , if('RHS INPUT'!F374=1,CONCATENATE(round('RHS INPUT'!N374),Char(44)," ",'RHS INPUT'!C374),""))</f>
        <v>8, rhs_weap_m16a4_carryhandle_grip_pmag</v>
      </c>
    </row>
    <row r="375" ht="12.0" customHeight="1">
      <c r="A375" s="1" t="str">
        <f>IFERROR(__xludf.DUMMYFUNCTION("if(ISBLANK('RHS INPUT'!C375),,CONCATENATE(CHAR(34),To_Text('RHS INPUT'!C375),CHAR(34),CHAR(44)))"),"""rhs_weap_m16a4_carryhandle_M203"",")</f>
        <v>"rhs_weap_m16a4_carryhandle_M203",</v>
      </c>
      <c r="B375" s="18" t="str">
        <f>if(isblank('RHS INPUT'!A375),,CONCATENATE("/*  ",'RHS INPUT'!A375,"  */"))</f>
        <v/>
      </c>
      <c r="C375" s="22" t="str">
        <f>if(isblank(A375),,if('RHS INPUT'!D375=1,Concatenate("class ",'RHS INPUT'!C375),))</f>
        <v>class rhs_weap_m16a4_carryhandle_M203</v>
      </c>
      <c r="D375" s="27" t="str">
        <f>if(ISBLANK(A375),,if('RHS INPUT'!D375=1,CONCATENATE("{quality = ",'RHS INPUT'!G375,"; price = ",Round('RHS INPUT'!M375),";};"),""))</f>
        <v>{quality = 2; price = 1150;};</v>
      </c>
      <c r="E375" t="str">
        <f>IFERROR(__xludf.DUMMYFUNCTION("if(ISBLANK(A375),, if('RHS INPUT'!E375=1,CONCATENATE(CHAR(34),To_Text('RHS INPUT'!C375),CHAR(34),CHAR(44)),""""))"),"""rhs_weap_m16a4_carryhandle_M203"",")</f>
        <v>"rhs_weap_m16a4_carryhandle_M203",</v>
      </c>
      <c r="F375" s="28" t="str">
        <f>IF(isblank(A375) ,Concatenate("&gt; ",'RHS INPUT'!A375) , if('RHS INPUT'!F375=1,CONCATENATE(round('RHS INPUT'!N375),Char(44)," ",'RHS INPUT'!C375),""))</f>
        <v>8, rhs_weap_m16a4_carryhandle_M203</v>
      </c>
    </row>
    <row r="376" ht="12.0" customHeight="1">
      <c r="A376" s="1" t="str">
        <f>IFERROR(__xludf.DUMMYFUNCTION("if(ISBLANK('RHS INPUT'!C376),,CONCATENATE(CHAR(34),To_Text('RHS INPUT'!C376),CHAR(34),CHAR(44)))"),"")</f>
        <v/>
      </c>
      <c r="B376" s="18" t="str">
        <f>if(isblank('RHS INPUT'!A376),,CONCATENATE("/*  ",'RHS INPUT'!A376,"  */"))</f>
        <v>/*  SNIPER_RIFLES  */</v>
      </c>
      <c r="C376" s="22" t="str">
        <f>if(isblank(A376),,if('RHS INPUT'!D376=1,Concatenate("class ",'RHS INPUT'!C376),))</f>
        <v/>
      </c>
      <c r="D376" s="27" t="str">
        <f>if(ISBLANK(A376),,if('RHS INPUT'!D376=1,CONCATENATE("{quality = ",'RHS INPUT'!G376,"; price = ",Round('RHS INPUT'!M376),";};"),""))</f>
        <v/>
      </c>
      <c r="E376" t="str">
        <f>IFERROR(__xludf.DUMMYFUNCTION("if(ISBLANK(A376),, if('RHS INPUT'!E376=1,CONCATENATE(CHAR(34),To_Text('RHS INPUT'!C376),CHAR(34),CHAR(44)),""""))"),"")</f>
        <v/>
      </c>
      <c r="F376" s="28" t="str">
        <f>IF(isblank(A376) ,Concatenate("&gt; ",'RHS INPUT'!A376) , if('RHS INPUT'!F376=1,CONCATENATE(round('RHS INPUT'!N376),Char(44)," ",'RHS INPUT'!C376),""))</f>
        <v>&gt; SNIPER_RIFLES</v>
      </c>
    </row>
    <row r="377" ht="12.0" customHeight="1">
      <c r="A377" s="1" t="str">
        <f>IFERROR(__xludf.DUMMYFUNCTION("if(ISBLANK('RHS INPUT'!C377),,CONCATENATE(CHAR(34),To_Text('RHS INPUT'!C377),CHAR(34),CHAR(44)))"),"""arifle_MXM_Black_F"",")</f>
        <v>"arifle_MXM_Black_F",</v>
      </c>
      <c r="B377" s="18" t="str">
        <f>if(isblank('RHS INPUT'!A377),,CONCATENATE("/*  ",'RHS INPUT'!A377,"  */"))</f>
        <v/>
      </c>
      <c r="C377" s="22" t="str">
        <f>if(isblank(A377),,if('RHS INPUT'!D377=1,Concatenate("class ",'RHS INPUT'!C377),))</f>
        <v>class arifle_MXM_Black_F</v>
      </c>
      <c r="D377" s="27" t="str">
        <f>if(ISBLANK(A377),,if('RHS INPUT'!D377=1,CONCATENATE("{quality = ",'RHS INPUT'!G377,"; price = ",Round('RHS INPUT'!M377),";};"),""))</f>
        <v>{quality = 1; price = 800;};</v>
      </c>
      <c r="E377" t="str">
        <f>IFERROR(__xludf.DUMMYFUNCTION("if(ISBLANK(A377),, if('RHS INPUT'!E377=1,CONCATENATE(CHAR(34),To_Text('RHS INPUT'!C377),CHAR(34),CHAR(44)),""""))"),"""arifle_MXM_Black_F"",")</f>
        <v>"arifle_MXM_Black_F",</v>
      </c>
      <c r="F377" s="28" t="str">
        <f>IF(isblank(A377) ,Concatenate("&gt; ",'RHS INPUT'!A377) , if('RHS INPUT'!F377=1,CONCATENATE(round('RHS INPUT'!N377),Char(44)," ",'RHS INPUT'!C377),""))</f>
        <v>11, arifle_MXM_Black_F</v>
      </c>
    </row>
    <row r="378" ht="12.0" customHeight="1">
      <c r="A378" s="1" t="str">
        <f>IFERROR(__xludf.DUMMYFUNCTION("if(ISBLANK('RHS INPUT'!C378),,CONCATENATE(CHAR(34),To_Text('RHS INPUT'!C378),CHAR(34),CHAR(44)))"),"""arifle_MXM_F"",")</f>
        <v>"arifle_MXM_F",</v>
      </c>
      <c r="B378" s="18" t="str">
        <f>if(isblank('RHS INPUT'!A378),,CONCATENATE("/*  ",'RHS INPUT'!A378,"  */"))</f>
        <v/>
      </c>
      <c r="C378" s="22" t="str">
        <f>if(isblank(A378),,if('RHS INPUT'!D378=1,Concatenate("class ",'RHS INPUT'!C378),))</f>
        <v>class arifle_MXM_F</v>
      </c>
      <c r="D378" s="27" t="str">
        <f>if(ISBLANK(A378),,if('RHS INPUT'!D378=1,CONCATENATE("{quality = ",'RHS INPUT'!G378,"; price = ",Round('RHS INPUT'!M378),";};"),""))</f>
        <v>{quality = 1; price = 800;};</v>
      </c>
      <c r="E378" t="str">
        <f>IFERROR(__xludf.DUMMYFUNCTION("if(ISBLANK(A378),, if('RHS INPUT'!E378=1,CONCATENATE(CHAR(34),To_Text('RHS INPUT'!C378),CHAR(34),CHAR(44)),""""))"),"""arifle_MXM_F"",")</f>
        <v>"arifle_MXM_F",</v>
      </c>
      <c r="F378" s="28" t="str">
        <f>IF(isblank(A378) ,Concatenate("&gt; ",'RHS INPUT'!A378) , if('RHS INPUT'!F378=1,CONCATENATE(round('RHS INPUT'!N378),Char(44)," ",'RHS INPUT'!C378),""))</f>
        <v>11, arifle_MXM_F</v>
      </c>
    </row>
    <row r="379" ht="12.0" customHeight="1">
      <c r="A379" s="1" t="str">
        <f>IFERROR(__xludf.DUMMYFUNCTION("if(ISBLANK('RHS INPUT'!C379),,CONCATENATE(CHAR(34),To_Text('RHS INPUT'!C379),CHAR(34),CHAR(44)))"),"""srifle_DMR_01_F"",")</f>
        <v>"srifle_DMR_01_F",</v>
      </c>
      <c r="B379" s="18" t="str">
        <f>if(isblank('RHS INPUT'!A379),,CONCATENATE("/*  ",'RHS INPUT'!A379,"  */"))</f>
        <v/>
      </c>
      <c r="C379" s="22" t="str">
        <f>if(isblank(A379),,if('RHS INPUT'!D379=1,Concatenate("class ",'RHS INPUT'!C379),))</f>
        <v>class srifle_DMR_01_F</v>
      </c>
      <c r="D379" s="27" t="str">
        <f>if(ISBLANK(A379),,if('RHS INPUT'!D379=1,CONCATENATE("{quality = ",'RHS INPUT'!G379,"; price = ",Round('RHS INPUT'!M379),";};"),""))</f>
        <v>{quality = 1; price = 1000;};</v>
      </c>
      <c r="E379" t="str">
        <f>IFERROR(__xludf.DUMMYFUNCTION("if(ISBLANK(A379),, if('RHS INPUT'!E379=1,CONCATENATE(CHAR(34),To_Text('RHS INPUT'!C379),CHAR(34),CHAR(44)),""""))"),"""srifle_DMR_01_F"",")</f>
        <v>"srifle_DMR_01_F",</v>
      </c>
      <c r="F379" s="28" t="str">
        <f>IF(isblank(A379) ,Concatenate("&gt; ",'RHS INPUT'!A379) , if('RHS INPUT'!F379=1,CONCATENATE(round('RHS INPUT'!N379),Char(44)," ",'RHS INPUT'!C379),""))</f>
        <v>9, srifle_DMR_01_F</v>
      </c>
    </row>
    <row r="380" ht="12.0" customHeight="1">
      <c r="A380" s="1" t="str">
        <f>IFERROR(__xludf.DUMMYFUNCTION("if(ISBLANK('RHS INPUT'!C380),,CONCATENATE(CHAR(34),To_Text('RHS INPUT'!C380),CHAR(34),CHAR(44)))"),"""srifle_DMR_02_camo_F"",")</f>
        <v>"srifle_DMR_02_camo_F",</v>
      </c>
      <c r="B380" s="18" t="str">
        <f>if(isblank('RHS INPUT'!A380),,CONCATENATE("/*  ",'RHS INPUT'!A380,"  */"))</f>
        <v/>
      </c>
      <c r="C380" s="22" t="str">
        <f>if(isblank(A380),,if('RHS INPUT'!D380=1,Concatenate("class ",'RHS INPUT'!C380),))</f>
        <v>class srifle_DMR_02_camo_F</v>
      </c>
      <c r="D380" s="27" t="str">
        <f>if(ISBLANK(A380),,if('RHS INPUT'!D380=1,CONCATENATE("{quality = ",'RHS INPUT'!G380,"; price = ",Round('RHS INPUT'!M380),";};"),""))</f>
        <v>{quality = 2; price = 2400;};</v>
      </c>
      <c r="E380" t="str">
        <f>IFERROR(__xludf.DUMMYFUNCTION("if(ISBLANK(A380),, if('RHS INPUT'!E380=1,CONCATENATE(CHAR(34),To_Text('RHS INPUT'!C380),CHAR(34),CHAR(44)),""""))"),"""srifle_DMR_02_camo_F"",")</f>
        <v>"srifle_DMR_02_camo_F",</v>
      </c>
      <c r="F380" s="28" t="str">
        <f>IF(isblank(A380) ,Concatenate("&gt; ",'RHS INPUT'!A380) , if('RHS INPUT'!F380=1,CONCATENATE(round('RHS INPUT'!N380),Char(44)," ",'RHS INPUT'!C380),""))</f>
        <v>4, srifle_DMR_02_camo_F</v>
      </c>
    </row>
    <row r="381" ht="12.0" customHeight="1">
      <c r="A381" s="1" t="str">
        <f>IFERROR(__xludf.DUMMYFUNCTION("if(ISBLANK('RHS INPUT'!C381),,CONCATENATE(CHAR(34),To_Text('RHS INPUT'!C381),CHAR(34),CHAR(44)))"),"""srifle_DMR_02_F"",")</f>
        <v>"srifle_DMR_02_F",</v>
      </c>
      <c r="B381" s="18" t="str">
        <f>if(isblank('RHS INPUT'!A381),,CONCATENATE("/*  ",'RHS INPUT'!A381,"  */"))</f>
        <v/>
      </c>
      <c r="C381" s="22" t="str">
        <f>if(isblank(A381),,if('RHS INPUT'!D381=1,Concatenate("class ",'RHS INPUT'!C381),))</f>
        <v>class srifle_DMR_02_F</v>
      </c>
      <c r="D381" s="27" t="str">
        <f>if(ISBLANK(A381),,if('RHS INPUT'!D381=1,CONCATENATE("{quality = ",'RHS INPUT'!G381,"; price = ",Round('RHS INPUT'!M381),";};"),""))</f>
        <v>{quality = 2; price = 2400;};</v>
      </c>
      <c r="E381" t="str">
        <f>IFERROR(__xludf.DUMMYFUNCTION("if(ISBLANK(A381),, if('RHS INPUT'!E381=1,CONCATENATE(CHAR(34),To_Text('RHS INPUT'!C381),CHAR(34),CHAR(44)),""""))"),"""srifle_DMR_02_F"",")</f>
        <v>"srifle_DMR_02_F",</v>
      </c>
      <c r="F381" s="28" t="str">
        <f>IF(isblank(A381) ,Concatenate("&gt; ",'RHS INPUT'!A381) , if('RHS INPUT'!F381=1,CONCATENATE(round('RHS INPUT'!N381),Char(44)," ",'RHS INPUT'!C381),""))</f>
        <v>4, srifle_DMR_02_F</v>
      </c>
    </row>
    <row r="382" ht="12.0" customHeight="1">
      <c r="A382" s="1" t="str">
        <f>IFERROR(__xludf.DUMMYFUNCTION("if(ISBLANK('RHS INPUT'!C382),,CONCATENATE(CHAR(34),To_Text('RHS INPUT'!C382),CHAR(34),CHAR(44)))"),"""srifle_DMR_02_sniper_F"",")</f>
        <v>"srifle_DMR_02_sniper_F",</v>
      </c>
      <c r="B382" s="18" t="str">
        <f>if(isblank('RHS INPUT'!A382),,CONCATENATE("/*  ",'RHS INPUT'!A382,"  */"))</f>
        <v/>
      </c>
      <c r="C382" s="22" t="str">
        <f>if(isblank(A382),,if('RHS INPUT'!D382=1,Concatenate("class ",'RHS INPUT'!C382),))</f>
        <v>class srifle_DMR_02_sniper_F</v>
      </c>
      <c r="D382" s="27" t="str">
        <f>if(ISBLANK(A382),,if('RHS INPUT'!D382=1,CONCATENATE("{quality = ",'RHS INPUT'!G382,"; price = ",Round('RHS INPUT'!M382),";};"),""))</f>
        <v>{quality = 2; price = 2400;};</v>
      </c>
      <c r="E382" t="str">
        <f>IFERROR(__xludf.DUMMYFUNCTION("if(ISBLANK(A382),, if('RHS INPUT'!E382=1,CONCATENATE(CHAR(34),To_Text('RHS INPUT'!C382),CHAR(34),CHAR(44)),""""))"),"""srifle_DMR_02_sniper_F"",")</f>
        <v>"srifle_DMR_02_sniper_F",</v>
      </c>
      <c r="F382" s="28" t="str">
        <f>IF(isblank(A382) ,Concatenate("&gt; ",'RHS INPUT'!A382) , if('RHS INPUT'!F382=1,CONCATENATE(round('RHS INPUT'!N382),Char(44)," ",'RHS INPUT'!C382),""))</f>
        <v>4, srifle_DMR_02_sniper_F</v>
      </c>
    </row>
    <row r="383" ht="12.0" customHeight="1">
      <c r="A383" s="1" t="str">
        <f>IFERROR(__xludf.DUMMYFUNCTION("if(ISBLANK('RHS INPUT'!C383),,CONCATENATE(CHAR(34),To_Text('RHS INPUT'!C383),CHAR(34),CHAR(44)))"),"""srifle_DMR_03_F"",")</f>
        <v>"srifle_DMR_03_F",</v>
      </c>
      <c r="B383" s="18" t="str">
        <f>if(isblank('RHS INPUT'!A383),,CONCATENATE("/*  ",'RHS INPUT'!A383,"  */"))</f>
        <v/>
      </c>
      <c r="C383" s="22" t="str">
        <f>if(isblank(A383),,if('RHS INPUT'!D383=1,Concatenate("class ",'RHS INPUT'!C383),))</f>
        <v>class srifle_DMR_03_F</v>
      </c>
      <c r="D383" s="27" t="str">
        <f>if(ISBLANK(A383),,if('RHS INPUT'!D383=1,CONCATENATE("{quality = ",'RHS INPUT'!G383,"; price = ",Round('RHS INPUT'!M383),";};"),""))</f>
        <v>{quality = 2; price = 2000;};</v>
      </c>
      <c r="E383" t="str">
        <f>IFERROR(__xludf.DUMMYFUNCTION("if(ISBLANK(A383),, if('RHS INPUT'!E383=1,CONCATENATE(CHAR(34),To_Text('RHS INPUT'!C383),CHAR(34),CHAR(44)),""""))"),"""srifle_DMR_03_F"",")</f>
        <v>"srifle_DMR_03_F",</v>
      </c>
      <c r="F383" s="28" t="str">
        <f>IF(isblank(A383) ,Concatenate("&gt; ",'RHS INPUT'!A383) , if('RHS INPUT'!F383=1,CONCATENATE(round('RHS INPUT'!N383),Char(44)," ",'RHS INPUT'!C383),""))</f>
        <v>5, srifle_DMR_03_F</v>
      </c>
    </row>
    <row r="384" ht="12.0" customHeight="1">
      <c r="A384" s="1" t="str">
        <f>IFERROR(__xludf.DUMMYFUNCTION("if(ISBLANK('RHS INPUT'!C384),,CONCATENATE(CHAR(34),To_Text('RHS INPUT'!C384),CHAR(34),CHAR(44)))"),"""srifle_DMR_03_khaki_F"",")</f>
        <v>"srifle_DMR_03_khaki_F",</v>
      </c>
      <c r="B384" s="18" t="str">
        <f>if(isblank('RHS INPUT'!A384),,CONCATENATE("/*  ",'RHS INPUT'!A384,"  */"))</f>
        <v/>
      </c>
      <c r="C384" s="22" t="str">
        <f>if(isblank(A384),,if('RHS INPUT'!D384=1,Concatenate("class ",'RHS INPUT'!C384),))</f>
        <v>class srifle_DMR_03_khaki_F</v>
      </c>
      <c r="D384" s="27" t="str">
        <f>if(ISBLANK(A384),,if('RHS INPUT'!D384=1,CONCATENATE("{quality = ",'RHS INPUT'!G384,"; price = ",Round('RHS INPUT'!M384),";};"),""))</f>
        <v>{quality = 2; price = 2000;};</v>
      </c>
      <c r="E384" t="str">
        <f>IFERROR(__xludf.DUMMYFUNCTION("if(ISBLANK(A384),, if('RHS INPUT'!E384=1,CONCATENATE(CHAR(34),To_Text('RHS INPUT'!C384),CHAR(34),CHAR(44)),""""))"),"""srifle_DMR_03_khaki_F"",")</f>
        <v>"srifle_DMR_03_khaki_F",</v>
      </c>
      <c r="F384" s="28" t="str">
        <f>IF(isblank(A384) ,Concatenate("&gt; ",'RHS INPUT'!A384) , if('RHS INPUT'!F384=1,CONCATENATE(round('RHS INPUT'!N384),Char(44)," ",'RHS INPUT'!C384),""))</f>
        <v>5, srifle_DMR_03_khaki_F</v>
      </c>
    </row>
    <row r="385" ht="12.0" customHeight="1">
      <c r="A385" s="1" t="str">
        <f>IFERROR(__xludf.DUMMYFUNCTION("if(ISBLANK('RHS INPUT'!C385),,CONCATENATE(CHAR(34),To_Text('RHS INPUT'!C385),CHAR(34),CHAR(44)))"),"""srifle_DMR_03_multicam_F"",")</f>
        <v>"srifle_DMR_03_multicam_F",</v>
      </c>
      <c r="B385" s="18" t="str">
        <f>if(isblank('RHS INPUT'!A385),,CONCATENATE("/*  ",'RHS INPUT'!A385,"  */"))</f>
        <v/>
      </c>
      <c r="C385" s="22" t="str">
        <f>if(isblank(A385),,if('RHS INPUT'!D385=1,Concatenate("class ",'RHS INPUT'!C385),))</f>
        <v>class srifle_DMR_03_multicam_F</v>
      </c>
      <c r="D385" s="27" t="str">
        <f>if(ISBLANK(A385),,if('RHS INPUT'!D385=1,CONCATENATE("{quality = ",'RHS INPUT'!G385,"; price = ",Round('RHS INPUT'!M385),";};"),""))</f>
        <v>{quality = 2; price = 2000;};</v>
      </c>
      <c r="E385" t="str">
        <f>IFERROR(__xludf.DUMMYFUNCTION("if(ISBLANK(A385),, if('RHS INPUT'!E385=1,CONCATENATE(CHAR(34),To_Text('RHS INPUT'!C385),CHAR(34),CHAR(44)),""""))"),"""srifle_DMR_03_multicam_F"",")</f>
        <v>"srifle_DMR_03_multicam_F",</v>
      </c>
      <c r="F385" s="28" t="str">
        <f>IF(isblank(A385) ,Concatenate("&gt; ",'RHS INPUT'!A385) , if('RHS INPUT'!F385=1,CONCATENATE(round('RHS INPUT'!N385),Char(44)," ",'RHS INPUT'!C385),""))</f>
        <v>5, srifle_DMR_03_multicam_F</v>
      </c>
    </row>
    <row r="386" ht="12.0" customHeight="1">
      <c r="A386" s="1" t="str">
        <f>IFERROR(__xludf.DUMMYFUNCTION("if(ISBLANK('RHS INPUT'!C386),,CONCATENATE(CHAR(34),To_Text('RHS INPUT'!C386),CHAR(34),CHAR(44)))"),"""srifle_DMR_03_tan_F"",")</f>
        <v>"srifle_DMR_03_tan_F",</v>
      </c>
      <c r="B386" s="18" t="str">
        <f>if(isblank('RHS INPUT'!A386),,CONCATENATE("/*  ",'RHS INPUT'!A386,"  */"))</f>
        <v/>
      </c>
      <c r="C386" s="22" t="str">
        <f>if(isblank(A386),,if('RHS INPUT'!D386=1,Concatenate("class ",'RHS INPUT'!C386),))</f>
        <v>class srifle_DMR_03_tan_F</v>
      </c>
      <c r="D386" s="27" t="str">
        <f>if(ISBLANK(A386),,if('RHS INPUT'!D386=1,CONCATENATE("{quality = ",'RHS INPUT'!G386,"; price = ",Round('RHS INPUT'!M386),";};"),""))</f>
        <v>{quality = 2; price = 2000;};</v>
      </c>
      <c r="E386" t="str">
        <f>IFERROR(__xludf.DUMMYFUNCTION("if(ISBLANK(A386),, if('RHS INPUT'!E386=1,CONCATENATE(CHAR(34),To_Text('RHS INPUT'!C386),CHAR(34),CHAR(44)),""""))"),"""srifle_DMR_03_tan_F"",")</f>
        <v>"srifle_DMR_03_tan_F",</v>
      </c>
      <c r="F386" s="28" t="str">
        <f>IF(isblank(A386) ,Concatenate("&gt; ",'RHS INPUT'!A386) , if('RHS INPUT'!F386=1,CONCATENATE(round('RHS INPUT'!N386),Char(44)," ",'RHS INPUT'!C386),""))</f>
        <v>5, srifle_DMR_03_tan_F</v>
      </c>
    </row>
    <row r="387" ht="12.0" customHeight="1">
      <c r="A387" s="1" t="str">
        <f>IFERROR(__xludf.DUMMYFUNCTION("if(ISBLANK('RHS INPUT'!C387),,CONCATENATE(CHAR(34),To_Text('RHS INPUT'!C387),CHAR(34),CHAR(44)))"),"""srifle_DMR_03_woodland_F"",")</f>
        <v>"srifle_DMR_03_woodland_F",</v>
      </c>
      <c r="B387" s="18" t="str">
        <f>if(isblank('RHS INPUT'!A387),,CONCATENATE("/*  ",'RHS INPUT'!A387,"  */"))</f>
        <v/>
      </c>
      <c r="C387" s="22" t="str">
        <f>if(isblank(A387),,if('RHS INPUT'!D387=1,Concatenate("class ",'RHS INPUT'!C387),))</f>
        <v>class srifle_DMR_03_woodland_F</v>
      </c>
      <c r="D387" s="27" t="str">
        <f>if(ISBLANK(A387),,if('RHS INPUT'!D387=1,CONCATENATE("{quality = ",'RHS INPUT'!G387,"; price = ",Round('RHS INPUT'!M387),";};"),""))</f>
        <v>{quality = 2; price = 2000;};</v>
      </c>
      <c r="E387" t="str">
        <f>IFERROR(__xludf.DUMMYFUNCTION("if(ISBLANK(A387),, if('RHS INPUT'!E387=1,CONCATENATE(CHAR(34),To_Text('RHS INPUT'!C387),CHAR(34),CHAR(44)),""""))"),"""srifle_DMR_03_woodland_F"",")</f>
        <v>"srifle_DMR_03_woodland_F",</v>
      </c>
      <c r="F387" s="28" t="str">
        <f>IF(isblank(A387) ,Concatenate("&gt; ",'RHS INPUT'!A387) , if('RHS INPUT'!F387=1,CONCATENATE(round('RHS INPUT'!N387),Char(44)," ",'RHS INPUT'!C387),""))</f>
        <v>5, srifle_DMR_03_woodland_F</v>
      </c>
    </row>
    <row r="388" ht="12.0" customHeight="1">
      <c r="A388" s="1" t="str">
        <f>IFERROR(__xludf.DUMMYFUNCTION("if(ISBLANK('RHS INPUT'!C388),,CONCATENATE(CHAR(34),To_Text('RHS INPUT'!C388),CHAR(34),CHAR(44)))"),"""srifle_DMR_04_F"",")</f>
        <v>"srifle_DMR_04_F",</v>
      </c>
      <c r="B388" s="18" t="str">
        <f>if(isblank('RHS INPUT'!A388),,CONCATENATE("/*  ",'RHS INPUT'!A388,"  */"))</f>
        <v/>
      </c>
      <c r="C388" s="22" t="str">
        <f>if(isblank(A388),,if('RHS INPUT'!D388=1,Concatenate("class ",'RHS INPUT'!C388),))</f>
        <v>class srifle_DMR_04_F</v>
      </c>
      <c r="D388" s="27" t="str">
        <f>if(ISBLANK(A388),,if('RHS INPUT'!D388=1,CONCATENATE("{quality = ",'RHS INPUT'!G388,"; price = ",Round('RHS INPUT'!M388),";};"),""))</f>
        <v>{quality = 2; price = 2800;};</v>
      </c>
      <c r="E388" t="str">
        <f>IFERROR(__xludf.DUMMYFUNCTION("if(ISBLANK(A388),, if('RHS INPUT'!E388=1,CONCATENATE(CHAR(34),To_Text('RHS INPUT'!C388),CHAR(34),CHAR(44)),""""))"),"""srifle_DMR_04_F"",")</f>
        <v>"srifle_DMR_04_F",</v>
      </c>
      <c r="F388" s="28" t="str">
        <f>IF(isblank(A388) ,Concatenate("&gt; ",'RHS INPUT'!A388) , if('RHS INPUT'!F388=1,CONCATENATE(round('RHS INPUT'!N388),Char(44)," ",'RHS INPUT'!C388),""))</f>
        <v>3, srifle_DMR_04_F</v>
      </c>
    </row>
    <row r="389" ht="12.0" customHeight="1">
      <c r="A389" s="1" t="str">
        <f>IFERROR(__xludf.DUMMYFUNCTION("if(ISBLANK('RHS INPUT'!C389),,CONCATENATE(CHAR(34),To_Text('RHS INPUT'!C389),CHAR(34),CHAR(44)))"),"""srifle_DMR_04_Tan_F"",")</f>
        <v>"srifle_DMR_04_Tan_F",</v>
      </c>
      <c r="B389" s="18" t="str">
        <f>if(isblank('RHS INPUT'!A389),,CONCATENATE("/*  ",'RHS INPUT'!A389,"  */"))</f>
        <v/>
      </c>
      <c r="C389" s="22" t="str">
        <f>if(isblank(A389),,if('RHS INPUT'!D389=1,Concatenate("class ",'RHS INPUT'!C389),))</f>
        <v>class srifle_DMR_04_Tan_F</v>
      </c>
      <c r="D389" s="27" t="str">
        <f>if(ISBLANK(A389),,if('RHS INPUT'!D389=1,CONCATENATE("{quality = ",'RHS INPUT'!G389,"; price = ",Round('RHS INPUT'!M389),";};"),""))</f>
        <v>{quality = 2; price = 2800;};</v>
      </c>
      <c r="E389" t="str">
        <f>IFERROR(__xludf.DUMMYFUNCTION("if(ISBLANK(A389),, if('RHS INPUT'!E389=1,CONCATENATE(CHAR(34),To_Text('RHS INPUT'!C389),CHAR(34),CHAR(44)),""""))"),"""srifle_DMR_04_Tan_F"",")</f>
        <v>"srifle_DMR_04_Tan_F",</v>
      </c>
      <c r="F389" s="28" t="str">
        <f>IF(isblank(A389) ,Concatenate("&gt; ",'RHS INPUT'!A389) , if('RHS INPUT'!F389=1,CONCATENATE(round('RHS INPUT'!N389),Char(44)," ",'RHS INPUT'!C389),""))</f>
        <v>3, srifle_DMR_04_Tan_F</v>
      </c>
    </row>
    <row r="390" ht="12.0" customHeight="1">
      <c r="A390" s="1" t="str">
        <f>IFERROR(__xludf.DUMMYFUNCTION("if(ISBLANK('RHS INPUT'!C390),,CONCATENATE(CHAR(34),To_Text('RHS INPUT'!C390),CHAR(34),CHAR(44)))"),"""srifle_DMR_05_blk_F"",")</f>
        <v>"srifle_DMR_05_blk_F",</v>
      </c>
      <c r="B390" s="18" t="str">
        <f>if(isblank('RHS INPUT'!A390),,CONCATENATE("/*  ",'RHS INPUT'!A390,"  */"))</f>
        <v/>
      </c>
      <c r="C390" s="22" t="str">
        <f>if(isblank(A390),,if('RHS INPUT'!D390=1,Concatenate("class ",'RHS INPUT'!C390),))</f>
        <v>class srifle_DMR_05_blk_F</v>
      </c>
      <c r="D390" s="27" t="str">
        <f>if(ISBLANK(A390),,if('RHS INPUT'!D390=1,CONCATENATE("{quality = ",'RHS INPUT'!G390,"; price = ",Round('RHS INPUT'!M390),";};"),""))</f>
        <v>{quality = 2; price = 2400;};</v>
      </c>
      <c r="E390" t="str">
        <f>IFERROR(__xludf.DUMMYFUNCTION("if(ISBLANK(A390),, if('RHS INPUT'!E390=1,CONCATENATE(CHAR(34),To_Text('RHS INPUT'!C390),CHAR(34),CHAR(44)),""""))"),"""srifle_DMR_05_blk_F"",")</f>
        <v>"srifle_DMR_05_blk_F",</v>
      </c>
      <c r="F390" s="28" t="str">
        <f>IF(isblank(A390) ,Concatenate("&gt; ",'RHS INPUT'!A390) , if('RHS INPUT'!F390=1,CONCATENATE(round('RHS INPUT'!N390),Char(44)," ",'RHS INPUT'!C390),""))</f>
        <v>4, srifle_DMR_05_blk_F</v>
      </c>
    </row>
    <row r="391" ht="12.0" customHeight="1">
      <c r="A391" s="1" t="str">
        <f>IFERROR(__xludf.DUMMYFUNCTION("if(ISBLANK('RHS INPUT'!C391),,CONCATENATE(CHAR(34),To_Text('RHS INPUT'!C391),CHAR(34),CHAR(44)))"),"""srifle_DMR_05_hex_F"",")</f>
        <v>"srifle_DMR_05_hex_F",</v>
      </c>
      <c r="B391" s="18" t="str">
        <f>if(isblank('RHS INPUT'!A391),,CONCATENATE("/*  ",'RHS INPUT'!A391,"  */"))</f>
        <v/>
      </c>
      <c r="C391" s="22" t="str">
        <f>if(isblank(A391),,if('RHS INPUT'!D391=1,Concatenate("class ",'RHS INPUT'!C391),))</f>
        <v>class srifle_DMR_05_hex_F</v>
      </c>
      <c r="D391" s="27" t="str">
        <f>if(ISBLANK(A391),,if('RHS INPUT'!D391=1,CONCATENATE("{quality = ",'RHS INPUT'!G391,"; price = ",Round('RHS INPUT'!M391),";};"),""))</f>
        <v>{quality = 2; price = 2400;};</v>
      </c>
      <c r="E391" t="str">
        <f>IFERROR(__xludf.DUMMYFUNCTION("if(ISBLANK(A391),, if('RHS INPUT'!E391=1,CONCATENATE(CHAR(34),To_Text('RHS INPUT'!C391),CHAR(34),CHAR(44)),""""))"),"""srifle_DMR_05_hex_F"",")</f>
        <v>"srifle_DMR_05_hex_F",</v>
      </c>
      <c r="F391" s="28" t="str">
        <f>IF(isblank(A391) ,Concatenate("&gt; ",'RHS INPUT'!A391) , if('RHS INPUT'!F391=1,CONCATENATE(round('RHS INPUT'!N391),Char(44)," ",'RHS INPUT'!C391),""))</f>
        <v>4, srifle_DMR_05_hex_F</v>
      </c>
    </row>
    <row r="392" ht="12.0" customHeight="1">
      <c r="A392" s="1" t="str">
        <f>IFERROR(__xludf.DUMMYFUNCTION("if(ISBLANK('RHS INPUT'!C392),,CONCATENATE(CHAR(34),To_Text('RHS INPUT'!C392),CHAR(34),CHAR(44)))"),"""srifle_DMR_05_tan_f"",")</f>
        <v>"srifle_DMR_05_tan_f",</v>
      </c>
      <c r="B392" s="18" t="str">
        <f>if(isblank('RHS INPUT'!A392),,CONCATENATE("/*  ",'RHS INPUT'!A392,"  */"))</f>
        <v/>
      </c>
      <c r="C392" s="22" t="str">
        <f>if(isblank(A392),,if('RHS INPUT'!D392=1,Concatenate("class ",'RHS INPUT'!C392),))</f>
        <v>class srifle_DMR_05_tan_f</v>
      </c>
      <c r="D392" s="27" t="str">
        <f>if(ISBLANK(A392),,if('RHS INPUT'!D392=1,CONCATENATE("{quality = ",'RHS INPUT'!G392,"; price = ",Round('RHS INPUT'!M392),";};"),""))</f>
        <v>{quality = 2; price = 2400;};</v>
      </c>
      <c r="E392" t="str">
        <f>IFERROR(__xludf.DUMMYFUNCTION("if(ISBLANK(A392),, if('RHS INPUT'!E392=1,CONCATENATE(CHAR(34),To_Text('RHS INPUT'!C392),CHAR(34),CHAR(44)),""""))"),"""srifle_DMR_05_tan_f"",")</f>
        <v>"srifle_DMR_05_tan_f",</v>
      </c>
      <c r="F392" s="28" t="str">
        <f>IF(isblank(A392) ,Concatenate("&gt; ",'RHS INPUT'!A392) , if('RHS INPUT'!F392=1,CONCATENATE(round('RHS INPUT'!N392),Char(44)," ",'RHS INPUT'!C392),""))</f>
        <v>4, srifle_DMR_05_tan_f</v>
      </c>
    </row>
    <row r="393" ht="12.0" customHeight="1">
      <c r="A393" s="1" t="str">
        <f>IFERROR(__xludf.DUMMYFUNCTION("if(ISBLANK('RHS INPUT'!C393),,CONCATENATE(CHAR(34),To_Text('RHS INPUT'!C393),CHAR(34),CHAR(44)))"),"""srifle_DMR_06_camo_F"",")</f>
        <v>"srifle_DMR_06_camo_F",</v>
      </c>
      <c r="B393" s="18" t="str">
        <f>if(isblank('RHS INPUT'!A393),,CONCATENATE("/*  ",'RHS INPUT'!A393,"  */"))</f>
        <v/>
      </c>
      <c r="C393" s="22" t="str">
        <f>if(isblank(A393),,if('RHS INPUT'!D393=1,Concatenate("class ",'RHS INPUT'!C393),))</f>
        <v>class srifle_DMR_06_camo_F</v>
      </c>
      <c r="D393" s="27" t="str">
        <f>if(ISBLANK(A393),,if('RHS INPUT'!D393=1,CONCATENATE("{quality = ",'RHS INPUT'!G393,"; price = ",Round('RHS INPUT'!M393),";};"),""))</f>
        <v>{quality = 2; price = 2000;};</v>
      </c>
      <c r="E393" t="str">
        <f>IFERROR(__xludf.DUMMYFUNCTION("if(ISBLANK(A393),, if('RHS INPUT'!E393=1,CONCATENATE(CHAR(34),To_Text('RHS INPUT'!C393),CHAR(34),CHAR(44)),""""))"),"""srifle_DMR_06_camo_F"",")</f>
        <v>"srifle_DMR_06_camo_F",</v>
      </c>
      <c r="F393" s="28" t="str">
        <f>IF(isblank(A393) ,Concatenate("&gt; ",'RHS INPUT'!A393) , if('RHS INPUT'!F393=1,CONCATENATE(round('RHS INPUT'!N393),Char(44)," ",'RHS INPUT'!C393),""))</f>
        <v>5, srifle_DMR_06_camo_F</v>
      </c>
    </row>
    <row r="394" ht="12.0" customHeight="1">
      <c r="A394" s="1" t="str">
        <f>IFERROR(__xludf.DUMMYFUNCTION("if(ISBLANK('RHS INPUT'!C394),,CONCATENATE(CHAR(34),To_Text('RHS INPUT'!C394),CHAR(34),CHAR(44)))"),"""srifle_DMR_06_olive_F"",")</f>
        <v>"srifle_DMR_06_olive_F",</v>
      </c>
      <c r="B394" s="18" t="str">
        <f>if(isblank('RHS INPUT'!A394),,CONCATENATE("/*  ",'RHS INPUT'!A394,"  */"))</f>
        <v/>
      </c>
      <c r="C394" s="22" t="str">
        <f>if(isblank(A394),,if('RHS INPUT'!D394=1,Concatenate("class ",'RHS INPUT'!C394),))</f>
        <v>class srifle_DMR_06_olive_F</v>
      </c>
      <c r="D394" s="27" t="str">
        <f>if(ISBLANK(A394),,if('RHS INPUT'!D394=1,CONCATENATE("{quality = ",'RHS INPUT'!G394,"; price = ",Round('RHS INPUT'!M394),";};"),""))</f>
        <v>{quality = 2; price = 2000;};</v>
      </c>
      <c r="E394" t="str">
        <f>IFERROR(__xludf.DUMMYFUNCTION("if(ISBLANK(A394),, if('RHS INPUT'!E394=1,CONCATENATE(CHAR(34),To_Text('RHS INPUT'!C394),CHAR(34),CHAR(44)),""""))"),"""srifle_DMR_06_olive_F"",")</f>
        <v>"srifle_DMR_06_olive_F",</v>
      </c>
      <c r="F394" s="28" t="str">
        <f>IF(isblank(A394) ,Concatenate("&gt; ",'RHS INPUT'!A394) , if('RHS INPUT'!F394=1,CONCATENATE(round('RHS INPUT'!N394),Char(44)," ",'RHS INPUT'!C394),""))</f>
        <v>5, srifle_DMR_06_olive_F</v>
      </c>
    </row>
    <row r="395" ht="12.0" customHeight="1">
      <c r="A395" s="1" t="str">
        <f>IFERROR(__xludf.DUMMYFUNCTION("if(ISBLANK('RHS INPUT'!C395),,CONCATENATE(CHAR(34),To_Text('RHS INPUT'!C395),CHAR(34),CHAR(44)))"),"""srifle_EBR_F"",")</f>
        <v>"srifle_EBR_F",</v>
      </c>
      <c r="B395" s="18" t="str">
        <f>if(isblank('RHS INPUT'!A395),,CONCATENATE("/*  ",'RHS INPUT'!A395,"  */"))</f>
        <v/>
      </c>
      <c r="C395" s="22" t="str">
        <f>if(isblank(A395),,if('RHS INPUT'!D395=1,Concatenate("class ",'RHS INPUT'!C395),))</f>
        <v>class srifle_EBR_F</v>
      </c>
      <c r="D395" s="27" t="str">
        <f>if(ISBLANK(A395),,if('RHS INPUT'!D395=1,CONCATENATE("{quality = ",'RHS INPUT'!G395,"; price = ",Round('RHS INPUT'!M395),";};"),""))</f>
        <v>{quality = 2; price = 1800;};</v>
      </c>
      <c r="E395" t="str">
        <f>IFERROR(__xludf.DUMMYFUNCTION("if(ISBLANK(A395),, if('RHS INPUT'!E395=1,CONCATENATE(CHAR(34),To_Text('RHS INPUT'!C395),CHAR(34),CHAR(44)),""""))"),"""srifle_EBR_F"",")</f>
        <v>"srifle_EBR_F",</v>
      </c>
      <c r="F395" s="28" t="str">
        <f>IF(isblank(A395) ,Concatenate("&gt; ",'RHS INPUT'!A395) , if('RHS INPUT'!F395=1,CONCATENATE(round('RHS INPUT'!N395),Char(44)," ",'RHS INPUT'!C395),""))</f>
        <v>5, srifle_EBR_F</v>
      </c>
    </row>
    <row r="396" ht="12.0" customHeight="1">
      <c r="A396" s="1" t="str">
        <f>IFERROR(__xludf.DUMMYFUNCTION("if(ISBLANK('RHS INPUT'!C396),,CONCATENATE(CHAR(34),To_Text('RHS INPUT'!C396),CHAR(34),CHAR(44)))"),"""srifle_GM6_camo_F"",")</f>
        <v>"srifle_GM6_camo_F",</v>
      </c>
      <c r="B396" s="18" t="str">
        <f>if(isblank('RHS INPUT'!A396),,CONCATENATE("/*  ",'RHS INPUT'!A396,"  */"))</f>
        <v/>
      </c>
      <c r="C396" s="22" t="str">
        <f>if(isblank(A396),,if('RHS INPUT'!D396=1,Concatenate("class ",'RHS INPUT'!C396),))</f>
        <v>class srifle_GM6_camo_F</v>
      </c>
      <c r="D396" s="27" t="str">
        <f>if(ISBLANK(A396),,if('RHS INPUT'!D396=1,CONCATENATE("{quality = ",'RHS INPUT'!G396,"; price = ",Round('RHS INPUT'!M396),";};"),""))</f>
        <v>{quality = 3; price = 6000;};</v>
      </c>
      <c r="E396" t="str">
        <f>IFERROR(__xludf.DUMMYFUNCTION("if(ISBLANK(A396),, if('RHS INPUT'!E396=1,CONCATENATE(CHAR(34),To_Text('RHS INPUT'!C396),CHAR(34),CHAR(44)),""""))"),"""srifle_GM6_camo_F"",")</f>
        <v>"srifle_GM6_camo_F",</v>
      </c>
      <c r="F396" s="28" t="str">
        <f>IF(isblank(A396) ,Concatenate("&gt; ",'RHS INPUT'!A396) , if('RHS INPUT'!F396=1,CONCATENATE(round('RHS INPUT'!N396),Char(44)," ",'RHS INPUT'!C396),""))</f>
        <v>2, srifle_GM6_camo_F</v>
      </c>
    </row>
    <row r="397" ht="12.0" customHeight="1">
      <c r="A397" s="1" t="str">
        <f>IFERROR(__xludf.DUMMYFUNCTION("if(ISBLANK('RHS INPUT'!C397),,CONCATENATE(CHAR(34),To_Text('RHS INPUT'!C397),CHAR(34),CHAR(44)))"),"""srifle_GM6_F"",")</f>
        <v>"srifle_GM6_F",</v>
      </c>
      <c r="B397" s="18" t="str">
        <f>if(isblank('RHS INPUT'!A397),,CONCATENATE("/*  ",'RHS INPUT'!A397,"  */"))</f>
        <v/>
      </c>
      <c r="C397" s="22" t="str">
        <f>if(isblank(A397),,if('RHS INPUT'!D397=1,Concatenate("class ",'RHS INPUT'!C397),))</f>
        <v>class srifle_GM6_F</v>
      </c>
      <c r="D397" s="27" t="str">
        <f>if(ISBLANK(A397),,if('RHS INPUT'!D397=1,CONCATENATE("{quality = ",'RHS INPUT'!G397,"; price = ",Round('RHS INPUT'!M397),";};"),""))</f>
        <v>{quality = 3; price = 6000;};</v>
      </c>
      <c r="E397" t="str">
        <f>IFERROR(__xludf.DUMMYFUNCTION("if(ISBLANK(A397),, if('RHS INPUT'!E397=1,CONCATENATE(CHAR(34),To_Text('RHS INPUT'!C397),CHAR(34),CHAR(44)),""""))"),"""srifle_GM6_F"",")</f>
        <v>"srifle_GM6_F",</v>
      </c>
      <c r="F397" s="28" t="str">
        <f>IF(isblank(A397) ,Concatenate("&gt; ",'RHS INPUT'!A397) , if('RHS INPUT'!F397=1,CONCATENATE(round('RHS INPUT'!N397),Char(44)," ",'RHS INPUT'!C397),""))</f>
        <v>2, srifle_GM6_F</v>
      </c>
    </row>
    <row r="398" ht="12.0" customHeight="1">
      <c r="A398" s="1" t="str">
        <f>IFERROR(__xludf.DUMMYFUNCTION("if(ISBLANK('RHS INPUT'!C398),,CONCATENATE(CHAR(34),To_Text('RHS INPUT'!C398),CHAR(34),CHAR(44)))"),"""srifle_LRR_camo_F"",")</f>
        <v>"srifle_LRR_camo_F",</v>
      </c>
      <c r="B398" s="18" t="str">
        <f>if(isblank('RHS INPUT'!A398),,CONCATENATE("/*  ",'RHS INPUT'!A398,"  */"))</f>
        <v/>
      </c>
      <c r="C398" s="22" t="str">
        <f>if(isblank(A398),,if('RHS INPUT'!D398=1,Concatenate("class ",'RHS INPUT'!C398),))</f>
        <v>class srifle_LRR_camo_F</v>
      </c>
      <c r="D398" s="27" t="str">
        <f>if(ISBLANK(A398),,if('RHS INPUT'!D398=1,CONCATENATE("{quality = ",'RHS INPUT'!G398,"; price = ",Round('RHS INPUT'!M398),";};"),""))</f>
        <v>{quality = 3; price = 4500;};</v>
      </c>
      <c r="E398" t="str">
        <f>IFERROR(__xludf.DUMMYFUNCTION("if(ISBLANK(A398),, if('RHS INPUT'!E398=1,CONCATENATE(CHAR(34),To_Text('RHS INPUT'!C398),CHAR(34),CHAR(44)),""""))"),"""srifle_LRR_camo_F"",")</f>
        <v>"srifle_LRR_camo_F",</v>
      </c>
      <c r="F398" s="28" t="str">
        <f>IF(isblank(A398) ,Concatenate("&gt; ",'RHS INPUT'!A398) , if('RHS INPUT'!F398=1,CONCATENATE(round('RHS INPUT'!N398),Char(44)," ",'RHS INPUT'!C398),""))</f>
        <v>2, srifle_LRR_camo_F</v>
      </c>
    </row>
    <row r="399" ht="12.0" customHeight="1">
      <c r="A399" s="1" t="str">
        <f>IFERROR(__xludf.DUMMYFUNCTION("if(ISBLANK('RHS INPUT'!C399),,CONCATENATE(CHAR(34),To_Text('RHS INPUT'!C399),CHAR(34),CHAR(44)))"),"""srifle_LRR_F"",")</f>
        <v>"srifle_LRR_F",</v>
      </c>
      <c r="B399" s="18" t="str">
        <f>if(isblank('RHS INPUT'!A399),,CONCATENATE("/*  ",'RHS INPUT'!A399,"  */"))</f>
        <v/>
      </c>
      <c r="C399" s="22" t="str">
        <f>if(isblank(A399),,if('RHS INPUT'!D399=1,Concatenate("class ",'RHS INPUT'!C399),))</f>
        <v>class srifle_LRR_F</v>
      </c>
      <c r="D399" s="27" t="str">
        <f>if(ISBLANK(A399),,if('RHS INPUT'!D399=1,CONCATENATE("{quality = ",'RHS INPUT'!G399,"; price = ",Round('RHS INPUT'!M399),";};"),""))</f>
        <v>{quality = 3; price = 4500;};</v>
      </c>
      <c r="E399" t="str">
        <f>IFERROR(__xludf.DUMMYFUNCTION("if(ISBLANK(A399),, if('RHS INPUT'!E399=1,CONCATENATE(CHAR(34),To_Text('RHS INPUT'!C399),CHAR(34),CHAR(44)),""""))"),"""srifle_LRR_F"",")</f>
        <v>"srifle_LRR_F",</v>
      </c>
      <c r="F399" s="28" t="str">
        <f>IF(isblank(A399) ,Concatenate("&gt; ",'RHS INPUT'!A399) , if('RHS INPUT'!F399=1,CONCATENATE(round('RHS INPUT'!N399),Char(44)," ",'RHS INPUT'!C399),""))</f>
        <v>2, srifle_LRR_F</v>
      </c>
    </row>
    <row r="400" ht="12.0" customHeight="1">
      <c r="A400" s="1" t="str">
        <f>IFERROR(__xludf.DUMMYFUNCTION("if(ISBLANK('RHS INPUT'!C400),,CONCATENATE(CHAR(34),To_Text('RHS INPUT'!C400),CHAR(34),CHAR(44)))"),"""rhs_weap_sr25"",")</f>
        <v>"rhs_weap_sr25",</v>
      </c>
      <c r="B400" s="18" t="str">
        <f>if(isblank('RHS INPUT'!A400),,CONCATENATE("/*  ",'RHS INPUT'!A400,"  */"))</f>
        <v/>
      </c>
      <c r="C400" s="22" t="str">
        <f>if(isblank(A400),,if('RHS INPUT'!D400=1,Concatenate("class ",'RHS INPUT'!C400),))</f>
        <v>class rhs_weap_sr25</v>
      </c>
      <c r="D400" s="27" t="str">
        <f>if(ISBLANK(A400),,if('RHS INPUT'!D400=1,CONCATENATE("{quality = ",'RHS INPUT'!G400,"; price = ",Round('RHS INPUT'!M400),";};"),""))</f>
        <v>{quality = 2; price = 1600;};</v>
      </c>
      <c r="E400" t="str">
        <f>IFERROR(__xludf.DUMMYFUNCTION("if(ISBLANK(A400),, if('RHS INPUT'!E400=1,CONCATENATE(CHAR(34),To_Text('RHS INPUT'!C400),CHAR(34),CHAR(44)),""""))"),"""rhs_weap_sr25"",")</f>
        <v>"rhs_weap_sr25",</v>
      </c>
      <c r="F400" s="28" t="str">
        <f>IF(isblank(A400) ,Concatenate("&gt; ",'RHS INPUT'!A400) , if('RHS INPUT'!F400=1,CONCATENATE(round('RHS INPUT'!N400),Char(44)," ",'RHS INPUT'!C400),""))</f>
        <v>6, rhs_weap_sr25</v>
      </c>
    </row>
    <row r="401" ht="12.0" customHeight="1">
      <c r="A401" s="1" t="str">
        <f>IFERROR(__xludf.DUMMYFUNCTION("if(ISBLANK('RHS INPUT'!C401),,CONCATENATE(CHAR(34),To_Text('RHS INPUT'!C401),CHAR(34),CHAR(44)))"),"""rhs_weap_sr25_ec"",")</f>
        <v>"rhs_weap_sr25_ec",</v>
      </c>
      <c r="B401" s="18" t="str">
        <f>if(isblank('RHS INPUT'!A401),,CONCATENATE("/*  ",'RHS INPUT'!A401,"  */"))</f>
        <v/>
      </c>
      <c r="C401" s="22" t="str">
        <f>if(isblank(A401),,if('RHS INPUT'!D401=1,Concatenate("class ",'RHS INPUT'!C401),))</f>
        <v>class rhs_weap_sr25_ec</v>
      </c>
      <c r="D401" s="27" t="str">
        <f>if(ISBLANK(A401),,if('RHS INPUT'!D401=1,CONCATENATE("{quality = ",'RHS INPUT'!G401,"; price = ",Round('RHS INPUT'!M401),";};"),""))</f>
        <v>{quality = 2; price = 1700;};</v>
      </c>
      <c r="E401" t="str">
        <f>IFERROR(__xludf.DUMMYFUNCTION("if(ISBLANK(A401),, if('RHS INPUT'!E401=1,CONCATENATE(CHAR(34),To_Text('RHS INPUT'!C401),CHAR(34),CHAR(44)),""""))"),"""rhs_weap_sr25_ec"",")</f>
        <v>"rhs_weap_sr25_ec",</v>
      </c>
      <c r="F401" s="28" t="str">
        <f>IF(isblank(A401) ,Concatenate("&gt; ",'RHS INPUT'!A401) , if('RHS INPUT'!F401=1,CONCATENATE(round('RHS INPUT'!N401),Char(44)," ",'RHS INPUT'!C401),""))</f>
        <v>6, rhs_weap_sr25_ec</v>
      </c>
    </row>
    <row r="402" ht="12.0" customHeight="1">
      <c r="A402" s="1" t="str">
        <f>IFERROR(__xludf.DUMMYFUNCTION("if(ISBLANK('RHS INPUT'!C402),,CONCATENATE(CHAR(34),To_Text('RHS INPUT'!C402),CHAR(34),CHAR(44)))"),"""rhs_weap_svdp"",")</f>
        <v>"rhs_weap_svdp",</v>
      </c>
      <c r="B402" s="18" t="str">
        <f>if(isblank('RHS INPUT'!A402),,CONCATENATE("/*  ",'RHS INPUT'!A402,"  */"))</f>
        <v/>
      </c>
      <c r="C402" s="22" t="str">
        <f>if(isblank(A402),,if('RHS INPUT'!D402=1,Concatenate("class ",'RHS INPUT'!C402),))</f>
        <v>class rhs_weap_svdp</v>
      </c>
      <c r="D402" s="27" t="str">
        <f>if(ISBLANK(A402),,if('RHS INPUT'!D402=1,CONCATENATE("{quality = ",'RHS INPUT'!G402,"; price = ",Round('RHS INPUT'!M402),";};"),""))</f>
        <v>{quality = 1; price = 500;};</v>
      </c>
      <c r="E402" t="str">
        <f>IFERROR(__xludf.DUMMYFUNCTION("if(ISBLANK(A402),, if('RHS INPUT'!E402=1,CONCATENATE(CHAR(34),To_Text('RHS INPUT'!C402),CHAR(34),CHAR(44)),""""))"),"""rhs_weap_svdp"",")</f>
        <v>"rhs_weap_svdp",</v>
      </c>
      <c r="F402" s="28" t="str">
        <f>IF(isblank(A402) ,Concatenate("&gt; ",'RHS INPUT'!A402) , if('RHS INPUT'!F402=1,CONCATENATE(round('RHS INPUT'!N402),Char(44)," ",'RHS INPUT'!C402),""))</f>
        <v>17, rhs_weap_svdp</v>
      </c>
    </row>
    <row r="403" ht="12.0" customHeight="1">
      <c r="A403" s="1" t="str">
        <f>IFERROR(__xludf.DUMMYFUNCTION("if(ISBLANK('RHS INPUT'!C403),,CONCATENATE(CHAR(34),To_Text('RHS INPUT'!C403),CHAR(34),CHAR(44)))"),"""rhs_weap_svdp_npz"",")</f>
        <v>"rhs_weap_svdp_npz",</v>
      </c>
      <c r="B403" s="18" t="str">
        <f>if(isblank('RHS INPUT'!A403),,CONCATENATE("/*  ",'RHS INPUT'!A403,"  */"))</f>
        <v/>
      </c>
      <c r="C403" s="22" t="str">
        <f>if(isblank(A403),,if('RHS INPUT'!D403=1,Concatenate("class ",'RHS INPUT'!C403),))</f>
        <v>class rhs_weap_svdp_npz</v>
      </c>
      <c r="D403" s="27" t="str">
        <f>if(ISBLANK(A403),,if('RHS INPUT'!D403=1,CONCATENATE("{quality = ",'RHS INPUT'!G403,"; price = ",Round('RHS INPUT'!M403),";};"),""))</f>
        <v>{quality = 1; price = 600;};</v>
      </c>
      <c r="E403" t="str">
        <f>IFERROR(__xludf.DUMMYFUNCTION("if(ISBLANK(A403),, if('RHS INPUT'!E403=1,CONCATENATE(CHAR(34),To_Text('RHS INPUT'!C403),CHAR(34),CHAR(44)),""""))"),"""rhs_weap_svdp_npz"",")</f>
        <v>"rhs_weap_svdp_npz",</v>
      </c>
      <c r="F403" s="28" t="str">
        <f>IF(isblank(A403) ,Concatenate("&gt; ",'RHS INPUT'!A403) , if('RHS INPUT'!F403=1,CONCATENATE(round('RHS INPUT'!N403),Char(44)," ",'RHS INPUT'!C403),""))</f>
        <v>14, rhs_weap_svdp_npz</v>
      </c>
    </row>
    <row r="404" ht="12.0" customHeight="1">
      <c r="A404" s="1" t="str">
        <f>IFERROR(__xludf.DUMMYFUNCTION("if(ISBLANK('RHS INPUT'!C404),,CONCATENATE(CHAR(34),To_Text('RHS INPUT'!C404),CHAR(34),CHAR(44)))"),"""rhs_weap_svdp_wd"",")</f>
        <v>"rhs_weap_svdp_wd",</v>
      </c>
      <c r="B404" s="18" t="str">
        <f>if(isblank('RHS INPUT'!A404),,CONCATENATE("/*  ",'RHS INPUT'!A404,"  */"))</f>
        <v/>
      </c>
      <c r="C404" s="22" t="str">
        <f>if(isblank(A404),,if('RHS INPUT'!D404=1,Concatenate("class ",'RHS INPUT'!C404),))</f>
        <v>class rhs_weap_svdp_wd</v>
      </c>
      <c r="D404" s="27" t="str">
        <f>if(ISBLANK(A404),,if('RHS INPUT'!D404=1,CONCATENATE("{quality = ",'RHS INPUT'!G404,"; price = ",Round('RHS INPUT'!M404),";};"),""))</f>
        <v>{quality = 1; price = 500;};</v>
      </c>
      <c r="E404" t="str">
        <f>IFERROR(__xludf.DUMMYFUNCTION("if(ISBLANK(A404),, if('RHS INPUT'!E404=1,CONCATENATE(CHAR(34),To_Text('RHS INPUT'!C404),CHAR(34),CHAR(44)),""""))"),"""rhs_weap_svdp_wd"",")</f>
        <v>"rhs_weap_svdp_wd",</v>
      </c>
      <c r="F404" s="28" t="str">
        <f>IF(isblank(A404) ,Concatenate("&gt; ",'RHS INPUT'!A404) , if('RHS INPUT'!F404=1,CONCATENATE(round('RHS INPUT'!N404),Char(44)," ",'RHS INPUT'!C404),""))</f>
        <v>17, rhs_weap_svdp_wd</v>
      </c>
    </row>
    <row r="405" ht="12.0" customHeight="1">
      <c r="A405" s="1" t="str">
        <f>IFERROR(__xludf.DUMMYFUNCTION("if(ISBLANK('RHS INPUT'!C405),,CONCATENATE(CHAR(34),To_Text('RHS INPUT'!C405),CHAR(34),CHAR(44)))"),"""rhs_weap_svdp_wd_npz"",")</f>
        <v>"rhs_weap_svdp_wd_npz",</v>
      </c>
      <c r="B405" s="18" t="str">
        <f>if(isblank('RHS INPUT'!A405),,CONCATENATE("/*  ",'RHS INPUT'!A405,"  */"))</f>
        <v/>
      </c>
      <c r="C405" s="22" t="str">
        <f>if(isblank(A405),,if('RHS INPUT'!D405=1,Concatenate("class ",'RHS INPUT'!C405),))</f>
        <v>class rhs_weap_svdp_wd_npz</v>
      </c>
      <c r="D405" s="27" t="str">
        <f>if(ISBLANK(A405),,if('RHS INPUT'!D405=1,CONCATENATE("{quality = ",'RHS INPUT'!G405,"; price = ",Round('RHS INPUT'!M405),";};"),""))</f>
        <v>{quality = 1; price = 600;};</v>
      </c>
      <c r="E405" t="str">
        <f>IFERROR(__xludf.DUMMYFUNCTION("if(ISBLANK(A405),, if('RHS INPUT'!E405=1,CONCATENATE(CHAR(34),To_Text('RHS INPUT'!C405),CHAR(34),CHAR(44)),""""))"),"""rhs_weap_svdp_wd_npz"",")</f>
        <v>"rhs_weap_svdp_wd_npz",</v>
      </c>
      <c r="F405" s="28" t="str">
        <f>IF(isblank(A405) ,Concatenate("&gt; ",'RHS INPUT'!A405) , if('RHS INPUT'!F405=1,CONCATENATE(round('RHS INPUT'!N405),Char(44)," ",'RHS INPUT'!C405),""))</f>
        <v>14, rhs_weap_svdp_wd_npz</v>
      </c>
    </row>
    <row r="406" ht="12.0" customHeight="1">
      <c r="A406" s="1" t="str">
        <f>IFERROR(__xludf.DUMMYFUNCTION("if(ISBLANK('RHS INPUT'!C406),,CONCATENATE(CHAR(34),To_Text('RHS INPUT'!C406),CHAR(34),CHAR(44)))"),"""rhs_weap_svds"",")</f>
        <v>"rhs_weap_svds",</v>
      </c>
      <c r="B406" s="18" t="str">
        <f>if(isblank('RHS INPUT'!A406),,CONCATENATE("/*  ",'RHS INPUT'!A406,"  */"))</f>
        <v/>
      </c>
      <c r="C406" s="22" t="str">
        <f>if(isblank(A406),,if('RHS INPUT'!D406=1,Concatenate("class ",'RHS INPUT'!C406),))</f>
        <v>class rhs_weap_svds</v>
      </c>
      <c r="D406" s="27" t="str">
        <f>if(ISBLANK(A406),,if('RHS INPUT'!D406=1,CONCATENATE("{quality = ",'RHS INPUT'!G406,"; price = ",Round('RHS INPUT'!M406),";};"),""))</f>
        <v>{quality = 1; price = 500;};</v>
      </c>
      <c r="E406" t="str">
        <f>IFERROR(__xludf.DUMMYFUNCTION("if(ISBLANK(A406),, if('RHS INPUT'!E406=1,CONCATENATE(CHAR(34),To_Text('RHS INPUT'!C406),CHAR(34),CHAR(44)),""""))"),"""rhs_weap_svds"",")</f>
        <v>"rhs_weap_svds",</v>
      </c>
      <c r="F406" s="28" t="str">
        <f>IF(isblank(A406) ,Concatenate("&gt; ",'RHS INPUT'!A406) , if('RHS INPUT'!F406=1,CONCATENATE(round('RHS INPUT'!N406),Char(44)," ",'RHS INPUT'!C406),""))</f>
        <v>17, rhs_weap_svds</v>
      </c>
    </row>
    <row r="407" ht="12.0" customHeight="1">
      <c r="A407" s="1" t="str">
        <f>IFERROR(__xludf.DUMMYFUNCTION("if(ISBLANK('RHS INPUT'!C407),,CONCATENATE(CHAR(34),To_Text('RHS INPUT'!C407),CHAR(34),CHAR(44)))"),"""rhs_weap_svds_npz"",")</f>
        <v>"rhs_weap_svds_npz",</v>
      </c>
      <c r="B407" s="18" t="str">
        <f>if(isblank('RHS INPUT'!A407),,CONCATENATE("/*  ",'RHS INPUT'!A407,"  */"))</f>
        <v/>
      </c>
      <c r="C407" s="22" t="str">
        <f>if(isblank(A407),,if('RHS INPUT'!D407=1,Concatenate("class ",'RHS INPUT'!C407),))</f>
        <v>class rhs_weap_svds_npz</v>
      </c>
      <c r="D407" s="27" t="str">
        <f>if(ISBLANK(A407),,if('RHS INPUT'!D407=1,CONCATENATE("{quality = ",'RHS INPUT'!G407,"; price = ",Round('RHS INPUT'!M407),";};"),""))</f>
        <v>{quality = 1; price = 600;};</v>
      </c>
      <c r="E407" t="str">
        <f>IFERROR(__xludf.DUMMYFUNCTION("if(ISBLANK(A407),, if('RHS INPUT'!E407=1,CONCATENATE(CHAR(34),To_Text('RHS INPUT'!C407),CHAR(34),CHAR(44)),""""))"),"""rhs_weap_svds_npz"",")</f>
        <v>"rhs_weap_svds_npz",</v>
      </c>
      <c r="F407" s="28" t="str">
        <f>IF(isblank(A407) ,Concatenate("&gt; ",'RHS INPUT'!A407) , if('RHS INPUT'!F407=1,CONCATENATE(round('RHS INPUT'!N407),Char(44)," ",'RHS INPUT'!C407),""))</f>
        <v>14, rhs_weap_svds_npz</v>
      </c>
    </row>
    <row r="408" ht="12.0" customHeight="1">
      <c r="A408" s="1" t="str">
        <f>IFERROR(__xludf.DUMMYFUNCTION("if(ISBLANK('RHS INPUT'!C408),,CONCATENATE(CHAR(34),To_Text('RHS INPUT'!C408),CHAR(34),CHAR(44)))"),"""rhs_weap_XM2010"",")</f>
        <v>"rhs_weap_XM2010",</v>
      </c>
      <c r="B408" s="18" t="str">
        <f>if(isblank('RHS INPUT'!A408),,CONCATENATE("/*  ",'RHS INPUT'!A408,"  */"))</f>
        <v/>
      </c>
      <c r="C408" s="22" t="str">
        <f>if(isblank(A408),,if('RHS INPUT'!D408=1,Concatenate("class ",'RHS INPUT'!C408),))</f>
        <v>class rhs_weap_XM2010</v>
      </c>
      <c r="D408" s="27" t="str">
        <f>if(ISBLANK(A408),,if('RHS INPUT'!D408=1,CONCATENATE("{quality = ",'RHS INPUT'!G408,"; price = ",Round('RHS INPUT'!M408),";};"),""))</f>
        <v>{quality = 3; price = 3000;};</v>
      </c>
      <c r="E408" t="str">
        <f>IFERROR(__xludf.DUMMYFUNCTION("if(ISBLANK(A408),, if('RHS INPUT'!E408=1,CONCATENATE(CHAR(34),To_Text('RHS INPUT'!C408),CHAR(34),CHAR(44)),""""))"),"""rhs_weap_XM2010"",")</f>
        <v>"rhs_weap_XM2010",</v>
      </c>
      <c r="F408" s="28" t="str">
        <f>IF(isblank(A408) ,Concatenate("&gt; ",'RHS INPUT'!A408) , if('RHS INPUT'!F408=1,CONCATENATE(round('RHS INPUT'!N408),Char(44)," ",'RHS INPUT'!C408),""))</f>
        <v>3, rhs_weap_XM2010</v>
      </c>
    </row>
    <row r="409" ht="12.0" customHeight="1">
      <c r="A409" s="1" t="str">
        <f>IFERROR(__xludf.DUMMYFUNCTION("if(ISBLANK('RHS INPUT'!C409),,CONCATENATE(CHAR(34),To_Text('RHS INPUT'!C409),CHAR(34),CHAR(44)))"),"""rhs_weap_XM2010_wd"",")</f>
        <v>"rhs_weap_XM2010_wd",</v>
      </c>
      <c r="B409" s="18" t="str">
        <f>if(isblank('RHS INPUT'!A409),,CONCATENATE("/*  ",'RHS INPUT'!A409,"  */"))</f>
        <v/>
      </c>
      <c r="C409" s="22" t="str">
        <f>if(isblank(A409),,if('RHS INPUT'!D409=1,Concatenate("class ",'RHS INPUT'!C409),))</f>
        <v>class rhs_weap_XM2010_wd</v>
      </c>
      <c r="D409" s="27" t="str">
        <f>if(ISBLANK(A409),,if('RHS INPUT'!D409=1,CONCATENATE("{quality = ",'RHS INPUT'!G409,"; price = ",Round('RHS INPUT'!M409),";};"),""))</f>
        <v>{quality = 3; price = 3000;};</v>
      </c>
      <c r="E409" t="str">
        <f>IFERROR(__xludf.DUMMYFUNCTION("if(ISBLANK(A409),, if('RHS INPUT'!E409=1,CONCATENATE(CHAR(34),To_Text('RHS INPUT'!C409),CHAR(34),CHAR(44)),""""))"),"""rhs_weap_XM2010_wd"",")</f>
        <v>"rhs_weap_XM2010_wd",</v>
      </c>
      <c r="F409" s="28" t="str">
        <f>IF(isblank(A409) ,Concatenate("&gt; ",'RHS INPUT'!A409) , if('RHS INPUT'!F409=1,CONCATENATE(round('RHS INPUT'!N409),Char(44)," ",'RHS INPUT'!C409),""))</f>
        <v>3, rhs_weap_XM2010_wd</v>
      </c>
    </row>
    <row r="410" ht="12.0" customHeight="1">
      <c r="A410" s="1" t="str">
        <f>IFERROR(__xludf.DUMMYFUNCTION("if(ISBLANK('RHS INPUT'!C410),,CONCATENATE(CHAR(34),To_Text('RHS INPUT'!C410),CHAR(34),CHAR(44)))"),"""rhs_weap_XM2010_d"",")</f>
        <v>"rhs_weap_XM2010_d",</v>
      </c>
      <c r="B410" s="18" t="str">
        <f>if(isblank('RHS INPUT'!A410),,CONCATENATE("/*  ",'RHS INPUT'!A410,"  */"))</f>
        <v/>
      </c>
      <c r="C410" s="22" t="str">
        <f>if(isblank(A410),,if('RHS INPUT'!D410=1,Concatenate("class ",'RHS INPUT'!C410),))</f>
        <v>class rhs_weap_XM2010_d</v>
      </c>
      <c r="D410" s="27" t="str">
        <f>if(ISBLANK(A410),,if('RHS INPUT'!D410=1,CONCATENATE("{quality = ",'RHS INPUT'!G410,"; price = ",Round('RHS INPUT'!M410),";};"),""))</f>
        <v>{quality = 3; price = 3000;};</v>
      </c>
      <c r="E410" t="str">
        <f>IFERROR(__xludf.DUMMYFUNCTION("if(ISBLANK(A410),, if('RHS INPUT'!E410=1,CONCATENATE(CHAR(34),To_Text('RHS INPUT'!C410),CHAR(34),CHAR(44)),""""))"),"""rhs_weap_XM2010_d"",")</f>
        <v>"rhs_weap_XM2010_d",</v>
      </c>
      <c r="F410" s="28" t="str">
        <f>IF(isblank(A410) ,Concatenate("&gt; ",'RHS INPUT'!A410) , if('RHS INPUT'!F410=1,CONCATENATE(round('RHS INPUT'!N410),Char(44)," ",'RHS INPUT'!C410),""))</f>
        <v>3, rhs_weap_XM2010_d</v>
      </c>
    </row>
    <row r="411" ht="12.0" customHeight="1">
      <c r="A411" s="1" t="str">
        <f>IFERROR(__xludf.DUMMYFUNCTION("if(ISBLANK('RHS INPUT'!C411),,CONCATENATE(CHAR(34),To_Text('RHS INPUT'!C411),CHAR(34),CHAR(44)))"),"""rhs_weap_XM2010_sa"",")</f>
        <v>"rhs_weap_XM2010_sa",</v>
      </c>
      <c r="B411" s="18" t="str">
        <f>if(isblank('RHS INPUT'!A411),,CONCATENATE("/*  ",'RHS INPUT'!A411,"  */"))</f>
        <v/>
      </c>
      <c r="C411" s="22" t="str">
        <f>if(isblank(A411),,if('RHS INPUT'!D411=1,Concatenate("class ",'RHS INPUT'!C411),))</f>
        <v>class rhs_weap_XM2010_sa</v>
      </c>
      <c r="D411" s="27" t="str">
        <f>if(ISBLANK(A411),,if('RHS INPUT'!D411=1,CONCATENATE("{quality = ",'RHS INPUT'!G411,"; price = ",Round('RHS INPUT'!M411),";};"),""))</f>
        <v>{quality = 3; price = 3000;};</v>
      </c>
      <c r="E411" t="str">
        <f>IFERROR(__xludf.DUMMYFUNCTION("if(ISBLANK(A411),, if('RHS INPUT'!E411=1,CONCATENATE(CHAR(34),To_Text('RHS INPUT'!C411),CHAR(34),CHAR(44)),""""))"),"""rhs_weap_XM2010_sa"",")</f>
        <v>"rhs_weap_XM2010_sa",</v>
      </c>
      <c r="F411" s="28" t="str">
        <f>IF(isblank(A411) ,Concatenate("&gt; ",'RHS INPUT'!A411) , if('RHS INPUT'!F411=1,CONCATENATE(round('RHS INPUT'!N411),Char(44)," ",'RHS INPUT'!C411),""))</f>
        <v>3, rhs_weap_XM2010_sa</v>
      </c>
    </row>
    <row r="412" ht="12.0" customHeight="1">
      <c r="A412" s="1" t="str">
        <f>IFERROR(__xludf.DUMMYFUNCTION("if(ISBLANK('RHS INPUT'!C412),,CONCATENATE(CHAR(34),To_Text('RHS INPUT'!C412),CHAR(34),CHAR(44)))"),"""rhs_weap_m14ebrri"",")</f>
        <v>"rhs_weap_m14ebrri",</v>
      </c>
      <c r="B412" s="18" t="str">
        <f>if(isblank('RHS INPUT'!A412),,CONCATENATE("/*  ",'RHS INPUT'!A412,"  */"))</f>
        <v/>
      </c>
      <c r="C412" s="22" t="str">
        <f>if(isblank(A412),,if('RHS INPUT'!D412=1,Concatenate("class ",'RHS INPUT'!C412),))</f>
        <v>class rhs_weap_m14ebrri</v>
      </c>
      <c r="D412" s="27" t="str">
        <f>if(ISBLANK(A412),,if('RHS INPUT'!D412=1,CONCATENATE("{quality = ",'RHS INPUT'!G412,"; price = ",Round('RHS INPUT'!M412),";};"),""))</f>
        <v>{quality = 2; price = 1600;};</v>
      </c>
      <c r="E412" t="str">
        <f>IFERROR(__xludf.DUMMYFUNCTION("if(ISBLANK(A412),, if('RHS INPUT'!E412=1,CONCATENATE(CHAR(34),To_Text('RHS INPUT'!C412),CHAR(34),CHAR(44)),""""))"),"""rhs_weap_m14ebrri"",")</f>
        <v>"rhs_weap_m14ebrri",</v>
      </c>
      <c r="F412" s="28" t="str">
        <f>IF(isblank(A412) ,Concatenate("&gt; ",'RHS INPUT'!A412) , if('RHS INPUT'!F412=1,CONCATENATE(round('RHS INPUT'!N412),Char(44)," ",'RHS INPUT'!C412),""))</f>
        <v>6, rhs_weap_m14ebrri</v>
      </c>
    </row>
    <row r="413" ht="12.0" customHeight="1">
      <c r="A413" s="1" t="str">
        <f>IFERROR(__xludf.DUMMYFUNCTION("if(ISBLANK('RHS INPUT'!C413),,CONCATENATE(CHAR(34),To_Text('RHS INPUT'!C413),CHAR(34),CHAR(44)))"),"""rhs_weap_m39"",")</f>
        <v>"rhs_weap_m39",</v>
      </c>
      <c r="B413" s="18" t="str">
        <f>if(isblank('RHS INPUT'!A413),,CONCATENATE("/*  ",'RHS INPUT'!A413,"  */"))</f>
        <v/>
      </c>
      <c r="C413" s="22" t="str">
        <f>if(isblank(A413),,if('RHS INPUT'!D413=1,Concatenate("class ",'RHS INPUT'!C413),))</f>
        <v>class rhs_weap_m39</v>
      </c>
      <c r="D413" s="27" t="str">
        <f>if(ISBLANK(A413),,if('RHS INPUT'!D413=1,CONCATENATE("{quality = ",'RHS INPUT'!G413,"; price = ",Round('RHS INPUT'!M413),";};"),""))</f>
        <v>{quality = 2; price = 1600;};</v>
      </c>
      <c r="E413" t="str">
        <f>IFERROR(__xludf.DUMMYFUNCTION("if(ISBLANK(A413),, if('RHS INPUT'!E413=1,CONCATENATE(CHAR(34),To_Text('RHS INPUT'!C413),CHAR(34),CHAR(44)),""""))"),"""rhs_weap_m39"",")</f>
        <v>"rhs_weap_m39",</v>
      </c>
      <c r="F413" s="28" t="str">
        <f>IF(isblank(A413) ,Concatenate("&gt; ",'RHS INPUT'!A413) , if('RHS INPUT'!F413=1,CONCATENATE(round('RHS INPUT'!N413),Char(44)," ",'RHS INPUT'!C413),""))</f>
        <v>6, rhs_weap_m39</v>
      </c>
    </row>
    <row r="414" ht="12.0" customHeight="1">
      <c r="A414" s="1" t="str">
        <f>IFERROR(__xludf.DUMMYFUNCTION("if(ISBLANK('RHS INPUT'!C414),,CONCATENATE(CHAR(34),To_Text('RHS INPUT'!C414),CHAR(34),CHAR(44)))"),"")</f>
        <v/>
      </c>
      <c r="B414" s="18" t="str">
        <f>if(isblank('RHS INPUT'!A414),,CONCATENATE("/*  ",'RHS INPUT'!A414,"  */"))</f>
        <v>/*  OPTICS  */</v>
      </c>
      <c r="C414" s="22" t="str">
        <f>if(isblank(A414),,if('RHS INPUT'!D414=1,Concatenate("class ",'RHS INPUT'!C414),))</f>
        <v/>
      </c>
      <c r="D414" s="27" t="str">
        <f>if(ISBLANK(A414),,if('RHS INPUT'!D414=1,CONCATENATE("{quality = ",'RHS INPUT'!G414,"; price = ",Round('RHS INPUT'!M414),";};"),""))</f>
        <v/>
      </c>
      <c r="E414" t="str">
        <f>IFERROR(__xludf.DUMMYFUNCTION("if(ISBLANK(A414),, if('RHS INPUT'!E414=1,CONCATENATE(CHAR(34),To_Text('RHS INPUT'!C414),CHAR(34),CHAR(44)),""""))"),"")</f>
        <v/>
      </c>
      <c r="F414" s="28" t="str">
        <f>IF(isblank(A414) ,Concatenate("&gt; ",'RHS INPUT'!A414) , if('RHS INPUT'!F414=1,CONCATENATE(round('RHS INPUT'!N414),Char(44)," ",'RHS INPUT'!C414),""))</f>
        <v>&gt; OPTICS</v>
      </c>
    </row>
    <row r="415" ht="12.0" customHeight="1">
      <c r="A415" s="1" t="str">
        <f>IFERROR(__xludf.DUMMYFUNCTION("if(ISBLANK('RHS INPUT'!C415),,CONCATENATE(CHAR(34),To_Text('RHS INPUT'!C415),CHAR(34),CHAR(44)))"),"""optic_Aco"",")</f>
        <v>"optic_Aco",</v>
      </c>
      <c r="B415" s="18" t="str">
        <f>if(isblank('RHS INPUT'!A415),,CONCATENATE("/*  ",'RHS INPUT'!A415,"  */"))</f>
        <v/>
      </c>
      <c r="C415" s="22" t="str">
        <f>if(isblank(A415),,if('RHS INPUT'!D415=1,Concatenate("class ",'RHS INPUT'!C415),))</f>
        <v>class optic_Aco</v>
      </c>
      <c r="D415" s="27" t="str">
        <f>if(ISBLANK(A415),,if('RHS INPUT'!D415=1,CONCATENATE("{quality = ",'RHS INPUT'!G415,"; price = ",Round('RHS INPUT'!M415),";};"),""))</f>
        <v>{quality = 1; price = 100;};</v>
      </c>
      <c r="E415" t="str">
        <f>IFERROR(__xludf.DUMMYFUNCTION("if(ISBLANK(A415),, if('RHS INPUT'!E415=1,CONCATENATE(CHAR(34),To_Text('RHS INPUT'!C415),CHAR(34),CHAR(44)),""""))"),"""optic_Aco"",")</f>
        <v>"optic_Aco",</v>
      </c>
      <c r="F415" s="28" t="str">
        <f>IF(isblank(A415) ,Concatenate("&gt; ",'RHS INPUT'!A415) , if('RHS INPUT'!F415=1,CONCATENATE(round('RHS INPUT'!N415),Char(44)," ",'RHS INPUT'!C415),""))</f>
        <v>50, optic_Aco</v>
      </c>
    </row>
    <row r="416" ht="12.0" customHeight="1">
      <c r="A416" s="1" t="str">
        <f>IFERROR(__xludf.DUMMYFUNCTION("if(ISBLANK('RHS INPUT'!C416),,CONCATENATE(CHAR(34),To_Text('RHS INPUT'!C416),CHAR(34),CHAR(44)))"),"""optic_ACO_grn"",")</f>
        <v>"optic_ACO_grn",</v>
      </c>
      <c r="B416" s="18" t="str">
        <f>if(isblank('RHS INPUT'!A416),,CONCATENATE("/*  ",'RHS INPUT'!A416,"  */"))</f>
        <v/>
      </c>
      <c r="C416" s="22" t="str">
        <f>if(isblank(A416),,if('RHS INPUT'!D416=1,Concatenate("class ",'RHS INPUT'!C416),))</f>
        <v>class optic_ACO_grn</v>
      </c>
      <c r="D416" s="27" t="str">
        <f>if(ISBLANK(A416),,if('RHS INPUT'!D416=1,CONCATENATE("{quality = ",'RHS INPUT'!G416,"; price = ",Round('RHS INPUT'!M416),";};"),""))</f>
        <v>{quality = 1; price = 100;};</v>
      </c>
      <c r="E416" t="str">
        <f>IFERROR(__xludf.DUMMYFUNCTION("if(ISBLANK(A416),, if('RHS INPUT'!E416=1,CONCATENATE(CHAR(34),To_Text('RHS INPUT'!C416),CHAR(34),CHAR(44)),""""))"),"""optic_ACO_grn"",")</f>
        <v>"optic_ACO_grn",</v>
      </c>
      <c r="F416" s="28" t="str">
        <f>IF(isblank(A416) ,Concatenate("&gt; ",'RHS INPUT'!A416) , if('RHS INPUT'!F416=1,CONCATENATE(round('RHS INPUT'!N416),Char(44)," ",'RHS INPUT'!C416),""))</f>
        <v>50, optic_ACO_grn</v>
      </c>
    </row>
    <row r="417" ht="12.0" customHeight="1">
      <c r="A417" s="1" t="str">
        <f>IFERROR(__xludf.DUMMYFUNCTION("if(ISBLANK('RHS INPUT'!C417),,CONCATENATE(CHAR(34),To_Text('RHS INPUT'!C417),CHAR(34),CHAR(44)))"),"""optic_ACO_grn_smg"",")</f>
        <v>"optic_ACO_grn_smg",</v>
      </c>
      <c r="B417" s="18" t="str">
        <f>if(isblank('RHS INPUT'!A417),,CONCATENATE("/*  ",'RHS INPUT'!A417,"  */"))</f>
        <v/>
      </c>
      <c r="C417" s="22" t="str">
        <f>if(isblank(A417),,if('RHS INPUT'!D417=1,Concatenate("class ",'RHS INPUT'!C417),))</f>
        <v>class optic_ACO_grn_smg</v>
      </c>
      <c r="D417" s="27" t="str">
        <f>if(ISBLANK(A417),,if('RHS INPUT'!D417=1,CONCATENATE("{quality = ",'RHS INPUT'!G417,"; price = ",Round('RHS INPUT'!M417),";};"),""))</f>
        <v>{quality = 1; price = 100;};</v>
      </c>
      <c r="E417" t="str">
        <f>IFERROR(__xludf.DUMMYFUNCTION("if(ISBLANK(A417),, if('RHS INPUT'!E417=1,CONCATENATE(CHAR(34),To_Text('RHS INPUT'!C417),CHAR(34),CHAR(44)),""""))"),"""optic_ACO_grn_smg"",")</f>
        <v>"optic_ACO_grn_smg",</v>
      </c>
      <c r="F417" s="28" t="str">
        <f>IF(isblank(A417) ,Concatenate("&gt; ",'RHS INPUT'!A417) , if('RHS INPUT'!F417=1,CONCATENATE(round('RHS INPUT'!N417),Char(44)," ",'RHS INPUT'!C417),""))</f>
        <v>50, optic_ACO_grn_smg</v>
      </c>
    </row>
    <row r="418" ht="12.0" customHeight="1">
      <c r="A418" s="1" t="str">
        <f>IFERROR(__xludf.DUMMYFUNCTION("if(ISBLANK('RHS INPUT'!C418),,CONCATENATE(CHAR(34),To_Text('RHS INPUT'!C418),CHAR(34),CHAR(44)))"),"""optic_Aco_smg"",")</f>
        <v>"optic_Aco_smg",</v>
      </c>
      <c r="B418" s="18" t="str">
        <f>if(isblank('RHS INPUT'!A418),,CONCATENATE("/*  ",'RHS INPUT'!A418,"  */"))</f>
        <v/>
      </c>
      <c r="C418" s="22" t="str">
        <f>if(isblank(A418),,if('RHS INPUT'!D418=1,Concatenate("class ",'RHS INPUT'!C418),))</f>
        <v>class optic_Aco_smg</v>
      </c>
      <c r="D418" s="27" t="str">
        <f>if(ISBLANK(A418),,if('RHS INPUT'!D418=1,CONCATENATE("{quality = ",'RHS INPUT'!G418,"; price = ",Round('RHS INPUT'!M418),";};"),""))</f>
        <v>{quality = 1; price = 100;};</v>
      </c>
      <c r="E418" t="str">
        <f>IFERROR(__xludf.DUMMYFUNCTION("if(ISBLANK(A418),, if('RHS INPUT'!E418=1,CONCATENATE(CHAR(34),To_Text('RHS INPUT'!C418),CHAR(34),CHAR(44)),""""))"),"""optic_Aco_smg"",")</f>
        <v>"optic_Aco_smg",</v>
      </c>
      <c r="F418" s="28" t="str">
        <f>IF(isblank(A418) ,Concatenate("&gt; ",'RHS INPUT'!A418) , if('RHS INPUT'!F418=1,CONCATENATE(round('RHS INPUT'!N418),Char(44)," ",'RHS INPUT'!C418),""))</f>
        <v>50, optic_Aco_smg</v>
      </c>
    </row>
    <row r="419" ht="12.0" customHeight="1">
      <c r="A419" s="1" t="str">
        <f>IFERROR(__xludf.DUMMYFUNCTION("if(ISBLANK('RHS INPUT'!C419),,CONCATENATE(CHAR(34),To_Text('RHS INPUT'!C419),CHAR(34),CHAR(44)))"),"""optic_AMS"",")</f>
        <v>"optic_AMS",</v>
      </c>
      <c r="B419" s="18" t="str">
        <f>if(isblank('RHS INPUT'!A419),,CONCATENATE("/*  ",'RHS INPUT'!A419,"  */"))</f>
        <v/>
      </c>
      <c r="C419" s="22" t="str">
        <f>if(isblank(A419),,if('RHS INPUT'!D419=1,Concatenate("class ",'RHS INPUT'!C419),))</f>
        <v>class optic_AMS</v>
      </c>
      <c r="D419" s="27" t="str">
        <f>if(ISBLANK(A419),,if('RHS INPUT'!D419=1,CONCATENATE("{quality = ",'RHS INPUT'!G419,"; price = ",Round('RHS INPUT'!M419),";};"),""))</f>
        <v>{quality = 2; price = 600;};</v>
      </c>
      <c r="E419" t="str">
        <f>IFERROR(__xludf.DUMMYFUNCTION("if(ISBLANK(A419),, if('RHS INPUT'!E419=1,CONCATENATE(CHAR(34),To_Text('RHS INPUT'!C419),CHAR(34),CHAR(44)),""""))"),"""optic_AMS"",")</f>
        <v>"optic_AMS",</v>
      </c>
      <c r="F419" s="28" t="str">
        <f>IF(isblank(A419) ,Concatenate("&gt; ",'RHS INPUT'!A419) , if('RHS INPUT'!F419=1,CONCATENATE(round('RHS INPUT'!N419),Char(44)," ",'RHS INPUT'!C419),""))</f>
        <v>14, optic_AMS</v>
      </c>
    </row>
    <row r="420" ht="12.0" customHeight="1">
      <c r="A420" s="1" t="str">
        <f>IFERROR(__xludf.DUMMYFUNCTION("if(ISBLANK('RHS INPUT'!C420),,CONCATENATE(CHAR(34),To_Text('RHS INPUT'!C420),CHAR(34),CHAR(44)))"),"""optic_AMS_khk"",")</f>
        <v>"optic_AMS_khk",</v>
      </c>
      <c r="B420" s="18" t="str">
        <f>if(isblank('RHS INPUT'!A420),,CONCATENATE("/*  ",'RHS INPUT'!A420,"  */"))</f>
        <v/>
      </c>
      <c r="C420" s="22" t="str">
        <f>if(isblank(A420),,if('RHS INPUT'!D420=1,Concatenate("class ",'RHS INPUT'!C420),))</f>
        <v>class optic_AMS_khk</v>
      </c>
      <c r="D420" s="27" t="str">
        <f>if(ISBLANK(A420),,if('RHS INPUT'!D420=1,CONCATENATE("{quality = ",'RHS INPUT'!G420,"; price = ",Round('RHS INPUT'!M420),";};"),""))</f>
        <v>{quality = 2; price = 600;};</v>
      </c>
      <c r="E420" t="str">
        <f>IFERROR(__xludf.DUMMYFUNCTION("if(ISBLANK(A420),, if('RHS INPUT'!E420=1,CONCATENATE(CHAR(34),To_Text('RHS INPUT'!C420),CHAR(34),CHAR(44)),""""))"),"""optic_AMS_khk"",")</f>
        <v>"optic_AMS_khk",</v>
      </c>
      <c r="F420" s="28" t="str">
        <f>IF(isblank(A420) ,Concatenate("&gt; ",'RHS INPUT'!A420) , if('RHS INPUT'!F420=1,CONCATENATE(round('RHS INPUT'!N420),Char(44)," ",'RHS INPUT'!C420),""))</f>
        <v>14, optic_AMS_khk</v>
      </c>
    </row>
    <row r="421" ht="12.0" customHeight="1">
      <c r="A421" s="1" t="str">
        <f>IFERROR(__xludf.DUMMYFUNCTION("if(ISBLANK('RHS INPUT'!C421),,CONCATENATE(CHAR(34),To_Text('RHS INPUT'!C421),CHAR(34),CHAR(44)))"),"""optic_AMS_snd"",")</f>
        <v>"optic_AMS_snd",</v>
      </c>
      <c r="B421" s="18" t="str">
        <f>if(isblank('RHS INPUT'!A421),,CONCATENATE("/*  ",'RHS INPUT'!A421,"  */"))</f>
        <v/>
      </c>
      <c r="C421" s="22" t="str">
        <f>if(isblank(A421),,if('RHS INPUT'!D421=1,Concatenate("class ",'RHS INPUT'!C421),))</f>
        <v>class optic_AMS_snd</v>
      </c>
      <c r="D421" s="27" t="str">
        <f>if(ISBLANK(A421),,if('RHS INPUT'!D421=1,CONCATENATE("{quality = ",'RHS INPUT'!G421,"; price = ",Round('RHS INPUT'!M421),";};"),""))</f>
        <v>{quality = 2; price = 600;};</v>
      </c>
      <c r="E421" t="str">
        <f>IFERROR(__xludf.DUMMYFUNCTION("if(ISBLANK(A421),, if('RHS INPUT'!E421=1,CONCATENATE(CHAR(34),To_Text('RHS INPUT'!C421),CHAR(34),CHAR(44)),""""))"),"""optic_AMS_snd"",")</f>
        <v>"optic_AMS_snd",</v>
      </c>
      <c r="F421" s="28" t="str">
        <f>IF(isblank(A421) ,Concatenate("&gt; ",'RHS INPUT'!A421) , if('RHS INPUT'!F421=1,CONCATENATE(round('RHS INPUT'!N421),Char(44)," ",'RHS INPUT'!C421),""))</f>
        <v>14, optic_AMS_snd</v>
      </c>
    </row>
    <row r="422" ht="12.0" customHeight="1">
      <c r="A422" s="1" t="str">
        <f>IFERROR(__xludf.DUMMYFUNCTION("if(ISBLANK('RHS INPUT'!C422),,CONCATENATE(CHAR(34),To_Text('RHS INPUT'!C422),CHAR(34),CHAR(44)))"),"""optic_Arco"",")</f>
        <v>"optic_Arco",</v>
      </c>
      <c r="B422" s="18" t="str">
        <f>if(isblank('RHS INPUT'!A422),,CONCATENATE("/*  ",'RHS INPUT'!A422,"  */"))</f>
        <v/>
      </c>
      <c r="C422" s="22" t="str">
        <f>if(isblank(A422),,if('RHS INPUT'!D422=1,Concatenate("class ",'RHS INPUT'!C422),))</f>
        <v>class optic_Arco</v>
      </c>
      <c r="D422" s="27" t="str">
        <f>if(ISBLANK(A422),,if('RHS INPUT'!D422=1,CONCATENATE("{quality = ",'RHS INPUT'!G422,"; price = ",Round('RHS INPUT'!M422),";};"),""))</f>
        <v>{quality = 1; price = 200;};</v>
      </c>
      <c r="E422" t="str">
        <f>IFERROR(__xludf.DUMMYFUNCTION("if(ISBLANK(A422),, if('RHS INPUT'!E422=1,CONCATENATE(CHAR(34),To_Text('RHS INPUT'!C422),CHAR(34),CHAR(44)),""""))"),"""optic_Arco"",")</f>
        <v>"optic_Arco",</v>
      </c>
      <c r="F422" s="28" t="str">
        <f>IF(isblank(A422) ,Concatenate("&gt; ",'RHS INPUT'!A422) , if('RHS INPUT'!F422=1,CONCATENATE(round('RHS INPUT'!N422),Char(44)," ",'RHS INPUT'!C422),""))</f>
        <v>33, optic_Arco</v>
      </c>
    </row>
    <row r="423" ht="12.0" customHeight="1">
      <c r="A423" s="1" t="str">
        <f>IFERROR(__xludf.DUMMYFUNCTION("if(ISBLANK('RHS INPUT'!C423),,CONCATENATE(CHAR(34),To_Text('RHS INPUT'!C423),CHAR(34),CHAR(44)))"),"""optic_DMS"",")</f>
        <v>"optic_DMS",</v>
      </c>
      <c r="B423" s="18" t="str">
        <f>if(isblank('RHS INPUT'!A423),,CONCATENATE("/*  ",'RHS INPUT'!A423,"  */"))</f>
        <v/>
      </c>
      <c r="C423" s="22" t="str">
        <f>if(isblank(A423),,if('RHS INPUT'!D423=1,Concatenate("class ",'RHS INPUT'!C423),))</f>
        <v>class optic_DMS</v>
      </c>
      <c r="D423" s="27" t="str">
        <f>if(ISBLANK(A423),,if('RHS INPUT'!D423=1,CONCATENATE("{quality = ",'RHS INPUT'!G423,"; price = ",Round('RHS INPUT'!M423),";};"),""))</f>
        <v>{quality = 2; price = 400;};</v>
      </c>
      <c r="E423" t="str">
        <f>IFERROR(__xludf.DUMMYFUNCTION("if(ISBLANK(A423),, if('RHS INPUT'!E423=1,CONCATENATE(CHAR(34),To_Text('RHS INPUT'!C423),CHAR(34),CHAR(44)),""""))"),"""optic_DMS"",")</f>
        <v>"optic_DMS",</v>
      </c>
      <c r="F423" s="28" t="str">
        <f>IF(isblank(A423) ,Concatenate("&gt; ",'RHS INPUT'!A423) , if('RHS INPUT'!F423=1,CONCATENATE(round('RHS INPUT'!N423),Char(44)," ",'RHS INPUT'!C423),""))</f>
        <v>20, optic_DMS</v>
      </c>
    </row>
    <row r="424" ht="12.0" customHeight="1">
      <c r="A424" s="1" t="str">
        <f>IFERROR(__xludf.DUMMYFUNCTION("if(ISBLANK('RHS INPUT'!C424),,CONCATENATE(CHAR(34),To_Text('RHS INPUT'!C424),CHAR(34),CHAR(44)))"),"""optic_Hamr"",")</f>
        <v>"optic_Hamr",</v>
      </c>
      <c r="B424" s="18" t="str">
        <f>if(isblank('RHS INPUT'!A424),,CONCATENATE("/*  ",'RHS INPUT'!A424,"  */"))</f>
        <v/>
      </c>
      <c r="C424" s="22" t="str">
        <f>if(isblank(A424),,if('RHS INPUT'!D424=1,Concatenate("class ",'RHS INPUT'!C424),))</f>
        <v>class optic_Hamr</v>
      </c>
      <c r="D424" s="27" t="str">
        <f>if(ISBLANK(A424),,if('RHS INPUT'!D424=1,CONCATENATE("{quality = ",'RHS INPUT'!G424,"; price = ",Round('RHS INPUT'!M424),";};"),""))</f>
        <v>{quality = 1; price = 200;};</v>
      </c>
      <c r="E424" t="str">
        <f>IFERROR(__xludf.DUMMYFUNCTION("if(ISBLANK(A424),, if('RHS INPUT'!E424=1,CONCATENATE(CHAR(34),To_Text('RHS INPUT'!C424),CHAR(34),CHAR(44)),""""))"),"""optic_Hamr"",")</f>
        <v>"optic_Hamr",</v>
      </c>
      <c r="F424" s="28" t="str">
        <f>IF(isblank(A424) ,Concatenate("&gt; ",'RHS INPUT'!A424) , if('RHS INPUT'!F424=1,CONCATENATE(round('RHS INPUT'!N424),Char(44)," ",'RHS INPUT'!C424),""))</f>
        <v>33, optic_Hamr</v>
      </c>
    </row>
    <row r="425" ht="12.0" customHeight="1">
      <c r="A425" s="1" t="str">
        <f>IFERROR(__xludf.DUMMYFUNCTION("if(ISBLANK('RHS INPUT'!C425),,CONCATENATE(CHAR(34),To_Text('RHS INPUT'!C425),CHAR(34),CHAR(44)))"),"""optic_Holosight"",")</f>
        <v>"optic_Holosight",</v>
      </c>
      <c r="B425" s="18" t="str">
        <f>if(isblank('RHS INPUT'!A425),,CONCATENATE("/*  ",'RHS INPUT'!A425,"  */"))</f>
        <v/>
      </c>
      <c r="C425" s="22" t="str">
        <f>if(isblank(A425),,if('RHS INPUT'!D425=1,Concatenate("class ",'RHS INPUT'!C425),))</f>
        <v>class optic_Holosight</v>
      </c>
      <c r="D425" s="27" t="str">
        <f>if(ISBLANK(A425),,if('RHS INPUT'!D425=1,CONCATENATE("{quality = ",'RHS INPUT'!G425,"; price = ",Round('RHS INPUT'!M425),";};"),""))</f>
        <v>{quality = 1; price = 100;};</v>
      </c>
      <c r="E425" t="str">
        <f>IFERROR(__xludf.DUMMYFUNCTION("if(ISBLANK(A425),, if('RHS INPUT'!E425=1,CONCATENATE(CHAR(34),To_Text('RHS INPUT'!C425),CHAR(34),CHAR(44)),""""))"),"""optic_Holosight"",")</f>
        <v>"optic_Holosight",</v>
      </c>
      <c r="F425" s="28" t="str">
        <f>IF(isblank(A425) ,Concatenate("&gt; ",'RHS INPUT'!A425) , if('RHS INPUT'!F425=1,CONCATENATE(round('RHS INPUT'!N425),Char(44)," ",'RHS INPUT'!C425),""))</f>
        <v>50, optic_Holosight</v>
      </c>
    </row>
    <row r="426" ht="12.0" customHeight="1">
      <c r="A426" s="1" t="str">
        <f>IFERROR(__xludf.DUMMYFUNCTION("if(ISBLANK('RHS INPUT'!C426),,CONCATENATE(CHAR(34),To_Text('RHS INPUT'!C426),CHAR(34),CHAR(44)))"),"""optic_Holosight_smg"",")</f>
        <v>"optic_Holosight_smg",</v>
      </c>
      <c r="B426" s="18" t="str">
        <f>if(isblank('RHS INPUT'!A426),,CONCATENATE("/*  ",'RHS INPUT'!A426,"  */"))</f>
        <v/>
      </c>
      <c r="C426" s="22" t="str">
        <f>if(isblank(A426),,if('RHS INPUT'!D426=1,Concatenate("class ",'RHS INPUT'!C426),))</f>
        <v>class optic_Holosight_smg</v>
      </c>
      <c r="D426" s="27" t="str">
        <f>if(ISBLANK(A426),,if('RHS INPUT'!D426=1,CONCATENATE("{quality = ",'RHS INPUT'!G426,"; price = ",Round('RHS INPUT'!M426),";};"),""))</f>
        <v>{quality = 1; price = 100;};</v>
      </c>
      <c r="E426" t="str">
        <f>IFERROR(__xludf.DUMMYFUNCTION("if(ISBLANK(A426),, if('RHS INPUT'!E426=1,CONCATENATE(CHAR(34),To_Text('RHS INPUT'!C426),CHAR(34),CHAR(44)),""""))"),"""optic_Holosight_smg"",")</f>
        <v>"optic_Holosight_smg",</v>
      </c>
      <c r="F426" s="28" t="str">
        <f>IF(isblank(A426) ,Concatenate("&gt; ",'RHS INPUT'!A426) , if('RHS INPUT'!F426=1,CONCATENATE(round('RHS INPUT'!N426),Char(44)," ",'RHS INPUT'!C426),""))</f>
        <v>50, optic_Holosight_smg</v>
      </c>
    </row>
    <row r="427" ht="12.0" customHeight="1">
      <c r="A427" s="1" t="str">
        <f>IFERROR(__xludf.DUMMYFUNCTION("if(ISBLANK('RHS INPUT'!C427),,CONCATENATE(CHAR(34),To_Text('RHS INPUT'!C427),CHAR(34),CHAR(44)))"),"""optic_KHS_blk"",")</f>
        <v>"optic_KHS_blk",</v>
      </c>
      <c r="B427" s="18" t="str">
        <f>if(isblank('RHS INPUT'!A427),,CONCATENATE("/*  ",'RHS INPUT'!A427,"  */"))</f>
        <v/>
      </c>
      <c r="C427" s="22" t="str">
        <f>if(isblank(A427),,if('RHS INPUT'!D427=1,Concatenate("class ",'RHS INPUT'!C427),))</f>
        <v>class optic_KHS_blk</v>
      </c>
      <c r="D427" s="27" t="str">
        <f>if(ISBLANK(A427),,if('RHS INPUT'!D427=1,CONCATENATE("{quality = ",'RHS INPUT'!G427,"; price = ",Round('RHS INPUT'!M427),";};"),""))</f>
        <v>{quality = 2; price = 600;};</v>
      </c>
      <c r="E427" t="str">
        <f>IFERROR(__xludf.DUMMYFUNCTION("if(ISBLANK(A427),, if('RHS INPUT'!E427=1,CONCATENATE(CHAR(34),To_Text('RHS INPUT'!C427),CHAR(34),CHAR(44)),""""))"),"""optic_KHS_blk"",")</f>
        <v>"optic_KHS_blk",</v>
      </c>
      <c r="F427" s="28" t="str">
        <f>IF(isblank(A427) ,Concatenate("&gt; ",'RHS INPUT'!A427) , if('RHS INPUT'!F427=1,CONCATENATE(round('RHS INPUT'!N427),Char(44)," ",'RHS INPUT'!C427),""))</f>
        <v>14, optic_KHS_blk</v>
      </c>
    </row>
    <row r="428" ht="12.0" customHeight="1">
      <c r="A428" s="1" t="str">
        <f>IFERROR(__xludf.DUMMYFUNCTION("if(ISBLANK('RHS INPUT'!C428),,CONCATENATE(CHAR(34),To_Text('RHS INPUT'!C428),CHAR(34),CHAR(44)))"),"""optic_KHS_hex"",")</f>
        <v>"optic_KHS_hex",</v>
      </c>
      <c r="B428" s="18" t="str">
        <f>if(isblank('RHS INPUT'!A428),,CONCATENATE("/*  ",'RHS INPUT'!A428,"  */"))</f>
        <v/>
      </c>
      <c r="C428" s="22" t="str">
        <f>if(isblank(A428),,if('RHS INPUT'!D428=1,Concatenate("class ",'RHS INPUT'!C428),))</f>
        <v>class optic_KHS_hex</v>
      </c>
      <c r="D428" s="27" t="str">
        <f>if(ISBLANK(A428),,if('RHS INPUT'!D428=1,CONCATENATE("{quality = ",'RHS INPUT'!G428,"; price = ",Round('RHS INPUT'!M428),";};"),""))</f>
        <v>{quality = 2; price = 600;};</v>
      </c>
      <c r="E428" t="str">
        <f>IFERROR(__xludf.DUMMYFUNCTION("if(ISBLANK(A428),, if('RHS INPUT'!E428=1,CONCATENATE(CHAR(34),To_Text('RHS INPUT'!C428),CHAR(34),CHAR(44)),""""))"),"""optic_KHS_hex"",")</f>
        <v>"optic_KHS_hex",</v>
      </c>
      <c r="F428" s="28" t="str">
        <f>IF(isblank(A428) ,Concatenate("&gt; ",'RHS INPUT'!A428) , if('RHS INPUT'!F428=1,CONCATENATE(round('RHS INPUT'!N428),Char(44)," ",'RHS INPUT'!C428),""))</f>
        <v>14, optic_KHS_hex</v>
      </c>
    </row>
    <row r="429" ht="12.0" customHeight="1">
      <c r="A429" s="1" t="str">
        <f>IFERROR(__xludf.DUMMYFUNCTION("if(ISBLANK('RHS INPUT'!C429),,CONCATENATE(CHAR(34),To_Text('RHS INPUT'!C429),CHAR(34),CHAR(44)))"),"""optic_KHS_old"",")</f>
        <v>"optic_KHS_old",</v>
      </c>
      <c r="B429" s="18" t="str">
        <f>if(isblank('RHS INPUT'!A429),,CONCATENATE("/*  ",'RHS INPUT'!A429,"  */"))</f>
        <v/>
      </c>
      <c r="C429" s="22" t="str">
        <f>if(isblank(A429),,if('RHS INPUT'!D429=1,Concatenate("class ",'RHS INPUT'!C429),))</f>
        <v>class optic_KHS_old</v>
      </c>
      <c r="D429" s="27" t="str">
        <f>if(ISBLANK(A429),,if('RHS INPUT'!D429=1,CONCATENATE("{quality = ",'RHS INPUT'!G429,"; price = ",Round('RHS INPUT'!M429),";};"),""))</f>
        <v>{quality = 2; price = 600;};</v>
      </c>
      <c r="E429" t="str">
        <f>IFERROR(__xludf.DUMMYFUNCTION("if(ISBLANK(A429),, if('RHS INPUT'!E429=1,CONCATENATE(CHAR(34),To_Text('RHS INPUT'!C429),CHAR(34),CHAR(44)),""""))"),"""optic_KHS_old"",")</f>
        <v>"optic_KHS_old",</v>
      </c>
      <c r="F429" s="28" t="str">
        <f>IF(isblank(A429) ,Concatenate("&gt; ",'RHS INPUT'!A429) , if('RHS INPUT'!F429=1,CONCATENATE(round('RHS INPUT'!N429),Char(44)," ",'RHS INPUT'!C429),""))</f>
        <v>14, optic_KHS_old</v>
      </c>
    </row>
    <row r="430" ht="12.0" customHeight="1">
      <c r="A430" s="1" t="str">
        <f>IFERROR(__xludf.DUMMYFUNCTION("if(ISBLANK('RHS INPUT'!C430),,CONCATENATE(CHAR(34),To_Text('RHS INPUT'!C430),CHAR(34),CHAR(44)))"),"""optic_KHS_tan"",")</f>
        <v>"optic_KHS_tan",</v>
      </c>
      <c r="B430" s="18" t="str">
        <f>if(isblank('RHS INPUT'!A430),,CONCATENATE("/*  ",'RHS INPUT'!A430,"  */"))</f>
        <v/>
      </c>
      <c r="C430" s="22" t="str">
        <f>if(isblank(A430),,if('RHS INPUT'!D430=1,Concatenate("class ",'RHS INPUT'!C430),))</f>
        <v>class optic_KHS_tan</v>
      </c>
      <c r="D430" s="27" t="str">
        <f>if(ISBLANK(A430),,if('RHS INPUT'!D430=1,CONCATENATE("{quality = ",'RHS INPUT'!G430,"; price = ",Round('RHS INPUT'!M430),";};"),""))</f>
        <v>{quality = 2; price = 600;};</v>
      </c>
      <c r="E430" t="str">
        <f>IFERROR(__xludf.DUMMYFUNCTION("if(ISBLANK(A430),, if('RHS INPUT'!E430=1,CONCATENATE(CHAR(34),To_Text('RHS INPUT'!C430),CHAR(34),CHAR(44)),""""))"),"""optic_KHS_tan"",")</f>
        <v>"optic_KHS_tan",</v>
      </c>
      <c r="F430" s="28" t="str">
        <f>IF(isblank(A430) ,Concatenate("&gt; ",'RHS INPUT'!A430) , if('RHS INPUT'!F430=1,CONCATENATE(round('RHS INPUT'!N430),Char(44)," ",'RHS INPUT'!C430),""))</f>
        <v>14, optic_KHS_tan</v>
      </c>
    </row>
    <row r="431" ht="12.0" customHeight="1">
      <c r="A431" s="1" t="str">
        <f>IFERROR(__xludf.DUMMYFUNCTION("if(ISBLANK('RHS INPUT'!C431),,CONCATENATE(CHAR(34),To_Text('RHS INPUT'!C431),CHAR(34),CHAR(44)))"),"""optic_LRPS"",")</f>
        <v>"optic_LRPS",</v>
      </c>
      <c r="B431" s="18" t="str">
        <f>if(isblank('RHS INPUT'!A431),,CONCATENATE("/*  ",'RHS INPUT'!A431,"  */"))</f>
        <v/>
      </c>
      <c r="C431" s="22" t="str">
        <f>if(isblank(A431),,if('RHS INPUT'!D431=1,Concatenate("class ",'RHS INPUT'!C431),))</f>
        <v>class optic_LRPS</v>
      </c>
      <c r="D431" s="27" t="str">
        <f>if(ISBLANK(A431),,if('RHS INPUT'!D431=1,CONCATENATE("{quality = ",'RHS INPUT'!G431,"; price = ",Round('RHS INPUT'!M431),";};"),""))</f>
        <v>{quality = 2; price = 800;};</v>
      </c>
      <c r="E431" t="str">
        <f>IFERROR(__xludf.DUMMYFUNCTION("if(ISBLANK(A431),, if('RHS INPUT'!E431=1,CONCATENATE(CHAR(34),To_Text('RHS INPUT'!C431),CHAR(34),CHAR(44)),""""))"),"""optic_LRPS"",")</f>
        <v>"optic_LRPS",</v>
      </c>
      <c r="F431" s="28" t="str">
        <f>IF(isblank(A431) ,Concatenate("&gt; ",'RHS INPUT'!A431) , if('RHS INPUT'!F431=1,CONCATENATE(round('RHS INPUT'!N431),Char(44)," ",'RHS INPUT'!C431),""))</f>
        <v>11, optic_LRPS</v>
      </c>
    </row>
    <row r="432" ht="12.0" customHeight="1">
      <c r="A432" s="1" t="str">
        <f>IFERROR(__xludf.DUMMYFUNCTION("if(ISBLANK('RHS INPUT'!C432),,CONCATENATE(CHAR(34),To_Text('RHS INPUT'!C432),CHAR(34),CHAR(44)))"),"""optic_MRCO"",")</f>
        <v>"optic_MRCO",</v>
      </c>
      <c r="B432" s="18" t="str">
        <f>if(isblank('RHS INPUT'!A432),,CONCATENATE("/*  ",'RHS INPUT'!A432,"  */"))</f>
        <v/>
      </c>
      <c r="C432" s="22" t="str">
        <f>if(isblank(A432),,if('RHS INPUT'!D432=1,Concatenate("class ",'RHS INPUT'!C432),))</f>
        <v>class optic_MRCO</v>
      </c>
      <c r="D432" s="27" t="str">
        <f>if(ISBLANK(A432),,if('RHS INPUT'!D432=1,CONCATENATE("{quality = ",'RHS INPUT'!G432,"; price = ",Round('RHS INPUT'!M432),";};"),""))</f>
        <v>{quality = 1; price = 200;};</v>
      </c>
      <c r="E432" t="str">
        <f>IFERROR(__xludf.DUMMYFUNCTION("if(ISBLANK(A432),, if('RHS INPUT'!E432=1,CONCATENATE(CHAR(34),To_Text('RHS INPUT'!C432),CHAR(34),CHAR(44)),""""))"),"""optic_MRCO"",")</f>
        <v>"optic_MRCO",</v>
      </c>
      <c r="F432" s="28" t="str">
        <f>IF(isblank(A432) ,Concatenate("&gt; ",'RHS INPUT'!A432) , if('RHS INPUT'!F432=1,CONCATENATE(round('RHS INPUT'!N432),Char(44)," ",'RHS INPUT'!C432),""))</f>
        <v>33, optic_MRCO</v>
      </c>
    </row>
    <row r="433" ht="12.0" customHeight="1">
      <c r="A433" s="1" t="str">
        <f>IFERROR(__xludf.DUMMYFUNCTION("if(ISBLANK('RHS INPUT'!C433),,CONCATENATE(CHAR(34),To_Text('RHS INPUT'!C433),CHAR(34),CHAR(44)))"),"""optic_MRD"",")</f>
        <v>"optic_MRD",</v>
      </c>
      <c r="B433" s="18" t="str">
        <f>if(isblank('RHS INPUT'!A433),,CONCATENATE("/*  ",'RHS INPUT'!A433,"  */"))</f>
        <v/>
      </c>
      <c r="C433" s="22" t="str">
        <f>if(isblank(A433),,if('RHS INPUT'!D433=1,Concatenate("class ",'RHS INPUT'!C433),))</f>
        <v>class optic_MRD</v>
      </c>
      <c r="D433" s="27" t="str">
        <f>if(ISBLANK(A433),,if('RHS INPUT'!D433=1,CONCATENATE("{quality = ",'RHS INPUT'!G433,"; price = ",Round('RHS INPUT'!M433),";};"),""))</f>
        <v>{quality = 1; price = 80;};</v>
      </c>
      <c r="E433" t="str">
        <f>IFERROR(__xludf.DUMMYFUNCTION("if(ISBLANK(A433),, if('RHS INPUT'!E433=1,CONCATENATE(CHAR(34),To_Text('RHS INPUT'!C433),CHAR(34),CHAR(44)),""""))"),"""optic_MRD"",")</f>
        <v>"optic_MRD",</v>
      </c>
      <c r="F433" s="28" t="str">
        <f>IF(isblank(A433) ,Concatenate("&gt; ",'RHS INPUT'!A433) , if('RHS INPUT'!F433=1,CONCATENATE(round('RHS INPUT'!N433),Char(44)," ",'RHS INPUT'!C433),""))</f>
        <v>56, optic_MRD</v>
      </c>
    </row>
    <row r="434" ht="12.0" customHeight="1">
      <c r="A434" s="1" t="str">
        <f>IFERROR(__xludf.DUMMYFUNCTION("if(ISBLANK('RHS INPUT'!C434),,CONCATENATE(CHAR(34),To_Text('RHS INPUT'!C434),CHAR(34),CHAR(44)))"),"""optic_Nightstalker"",")</f>
        <v>"optic_Nightstalker",</v>
      </c>
      <c r="B434" s="18" t="str">
        <f>if(isblank('RHS INPUT'!A434),,CONCATENATE("/*  ",'RHS INPUT'!A434,"  */"))</f>
        <v/>
      </c>
      <c r="C434" s="22" t="str">
        <f>if(isblank(A434),,if('RHS INPUT'!D434=1,Concatenate("class ",'RHS INPUT'!C434),))</f>
        <v/>
      </c>
      <c r="D434" s="27" t="str">
        <f>if(ISBLANK(A434),,if('RHS INPUT'!D434=1,CONCATENATE("{quality = ",'RHS INPUT'!G434,"; price = ",Round('RHS INPUT'!M434),";};"),""))</f>
        <v/>
      </c>
      <c r="E434" t="str">
        <f>IFERROR(__xludf.DUMMYFUNCTION("if(ISBLANK(A434),, if('RHS INPUT'!E434=1,CONCATENATE(CHAR(34),To_Text('RHS INPUT'!C434),CHAR(34),CHAR(44)),""""))"),"")</f>
        <v/>
      </c>
      <c r="F434" s="28" t="str">
        <f>IF(isblank(A434) ,Concatenate("&gt; ",'RHS INPUT'!A434) , if('RHS INPUT'!F434=1,CONCATENATE(round('RHS INPUT'!N434),Char(44)," ",'RHS INPUT'!C434),""))</f>
        <v/>
      </c>
    </row>
    <row r="435" ht="12.0" customHeight="1">
      <c r="A435" s="1" t="str">
        <f>IFERROR(__xludf.DUMMYFUNCTION("if(ISBLANK('RHS INPUT'!C435),,CONCATENATE(CHAR(34),To_Text('RHS INPUT'!C435),CHAR(34),CHAR(44)))"),"""optic_NVS"",")</f>
        <v>"optic_NVS",</v>
      </c>
      <c r="B435" s="18" t="str">
        <f>if(isblank('RHS INPUT'!A435),,CONCATENATE("/*  ",'RHS INPUT'!A435,"  */"))</f>
        <v/>
      </c>
      <c r="C435" s="22" t="str">
        <f>if(isblank(A435),,if('RHS INPUT'!D435=1,Concatenate("class ",'RHS INPUT'!C435),))</f>
        <v>class optic_NVS</v>
      </c>
      <c r="D435" s="27" t="str">
        <f>if(ISBLANK(A435),,if('RHS INPUT'!D435=1,CONCATENATE("{quality = ",'RHS INPUT'!G435,"; price = ",Round('RHS INPUT'!M435),";};"),""))</f>
        <v>{quality = 3; price = 900;};</v>
      </c>
      <c r="E435" t="str">
        <f>IFERROR(__xludf.DUMMYFUNCTION("if(ISBLANK(A435),, if('RHS INPUT'!E435=1,CONCATENATE(CHAR(34),To_Text('RHS INPUT'!C435),CHAR(34),CHAR(44)),""""))"),"""optic_NVS"",")</f>
        <v>"optic_NVS",</v>
      </c>
      <c r="F435" s="28" t="str">
        <f>IF(isblank(A435) ,Concatenate("&gt; ",'RHS INPUT'!A435) , if('RHS INPUT'!F435=1,CONCATENATE(round('RHS INPUT'!N435),Char(44)," ",'RHS INPUT'!C435),""))</f>
        <v>10, optic_NVS</v>
      </c>
    </row>
    <row r="436" ht="12.0" customHeight="1">
      <c r="A436" s="1" t="str">
        <f>IFERROR(__xludf.DUMMYFUNCTION("if(ISBLANK('RHS INPUT'!C436),,CONCATENATE(CHAR(34),To_Text('RHS INPUT'!C436),CHAR(34),CHAR(44)))"),"""optic_SOS"",")</f>
        <v>"optic_SOS",</v>
      </c>
      <c r="B436" s="18" t="str">
        <f>if(isblank('RHS INPUT'!A436),,CONCATENATE("/*  ",'RHS INPUT'!A436,"  */"))</f>
        <v/>
      </c>
      <c r="C436" s="22" t="str">
        <f>if(isblank(A436),,if('RHS INPUT'!D436=1,Concatenate("class ",'RHS INPUT'!C436),))</f>
        <v>class optic_SOS</v>
      </c>
      <c r="D436" s="27" t="str">
        <f>if(ISBLANK(A436),,if('RHS INPUT'!D436=1,CONCATENATE("{quality = ",'RHS INPUT'!G436,"; price = ",Round('RHS INPUT'!M436),";};"),""))</f>
        <v>{quality = 2; price = 600;};</v>
      </c>
      <c r="E436" t="str">
        <f>IFERROR(__xludf.DUMMYFUNCTION("if(ISBLANK(A436),, if('RHS INPUT'!E436=1,CONCATENATE(CHAR(34),To_Text('RHS INPUT'!C436),CHAR(34),CHAR(44)),""""))"),"""optic_SOS"",")</f>
        <v>"optic_SOS",</v>
      </c>
      <c r="F436" s="28" t="str">
        <f>IF(isblank(A436) ,Concatenate("&gt; ",'RHS INPUT'!A436) , if('RHS INPUT'!F436=1,CONCATENATE(round('RHS INPUT'!N436),Char(44)," ",'RHS INPUT'!C436),""))</f>
        <v>14, optic_SOS</v>
      </c>
    </row>
    <row r="437" ht="12.0" customHeight="1">
      <c r="A437" s="1" t="str">
        <f>IFERROR(__xludf.DUMMYFUNCTION("if(ISBLANK('RHS INPUT'!C437),,CONCATENATE(CHAR(34),To_Text('RHS INPUT'!C437),CHAR(34),CHAR(44)))"),"""optic_tws"",")</f>
        <v>"optic_tws",</v>
      </c>
      <c r="B437" s="18" t="str">
        <f>if(isblank('RHS INPUT'!A437),,CONCATENATE("/*  ",'RHS INPUT'!A437,"  */"))</f>
        <v/>
      </c>
      <c r="C437" s="22" t="str">
        <f>if(isblank(A437),,if('RHS INPUT'!D437=1,Concatenate("class ",'RHS INPUT'!C437),))</f>
        <v/>
      </c>
      <c r="D437" s="27" t="str">
        <f>if(ISBLANK(A437),,if('RHS INPUT'!D437=1,CONCATENATE("{quality = ",'RHS INPUT'!G437,"; price = ",Round('RHS INPUT'!M437),";};"),""))</f>
        <v/>
      </c>
      <c r="E437" t="str">
        <f>IFERROR(__xludf.DUMMYFUNCTION("if(ISBLANK(A437),, if('RHS INPUT'!E437=1,CONCATENATE(CHAR(34),To_Text('RHS INPUT'!C437),CHAR(34),CHAR(44)),""""))"),"")</f>
        <v/>
      </c>
      <c r="F437" s="28" t="str">
        <f>IF(isblank(A437) ,Concatenate("&gt; ",'RHS INPUT'!A437) , if('RHS INPUT'!F437=1,CONCATENATE(round('RHS INPUT'!N437),Char(44)," ",'RHS INPUT'!C437),""))</f>
        <v/>
      </c>
    </row>
    <row r="438" ht="12.0" customHeight="1">
      <c r="A438" s="1" t="str">
        <f>IFERROR(__xludf.DUMMYFUNCTION("if(ISBLANK('RHS INPUT'!C438),,CONCATENATE(CHAR(34),To_Text('RHS INPUT'!C438),CHAR(34),CHAR(44)))"),"""optic_tws_mg"",")</f>
        <v>"optic_tws_mg",</v>
      </c>
      <c r="B438" s="18" t="str">
        <f>if(isblank('RHS INPUT'!A438),,CONCATENATE("/*  ",'RHS INPUT'!A438,"  */"))</f>
        <v/>
      </c>
      <c r="C438" s="22" t="str">
        <f>if(isblank(A438),,if('RHS INPUT'!D438=1,Concatenate("class ",'RHS INPUT'!C438),))</f>
        <v/>
      </c>
      <c r="D438" s="27" t="str">
        <f>if(ISBLANK(A438),,if('RHS INPUT'!D438=1,CONCATENATE("{quality = ",'RHS INPUT'!G438,"; price = ",Round('RHS INPUT'!M438),";};"),""))</f>
        <v/>
      </c>
      <c r="E438" t="str">
        <f>IFERROR(__xludf.DUMMYFUNCTION("if(ISBLANK(A438),, if('RHS INPUT'!E438=1,CONCATENATE(CHAR(34),To_Text('RHS INPUT'!C438),CHAR(34),CHAR(44)),""""))"),"")</f>
        <v/>
      </c>
      <c r="F438" s="28" t="str">
        <f>IF(isblank(A438) ,Concatenate("&gt; ",'RHS INPUT'!A438) , if('RHS INPUT'!F438=1,CONCATENATE(round('RHS INPUT'!N438),Char(44)," ",'RHS INPUT'!C438),""))</f>
        <v/>
      </c>
    </row>
    <row r="439" ht="12.0" customHeight="1">
      <c r="A439" s="1" t="str">
        <f>IFERROR(__xludf.DUMMYFUNCTION("if(ISBLANK('RHS INPUT'!C439),,CONCATENATE(CHAR(34),To_Text('RHS INPUT'!C439),CHAR(34),CHAR(44)))"),"""optic_Yorris"",")</f>
        <v>"optic_Yorris",</v>
      </c>
      <c r="B439" s="18" t="str">
        <f>if(isblank('RHS INPUT'!A439),,CONCATENATE("/*  ",'RHS INPUT'!A439,"  */"))</f>
        <v/>
      </c>
      <c r="C439" s="22" t="str">
        <f>if(isblank(A439),,if('RHS INPUT'!D439=1,Concatenate("class ",'RHS INPUT'!C439),))</f>
        <v>class optic_Yorris</v>
      </c>
      <c r="D439" s="27" t="str">
        <f>if(ISBLANK(A439),,if('RHS INPUT'!D439=1,CONCATENATE("{quality = ",'RHS INPUT'!G439,"; price = ",Round('RHS INPUT'!M439),";};"),""))</f>
        <v>{quality = 1; price = 80;};</v>
      </c>
      <c r="E439" t="str">
        <f>IFERROR(__xludf.DUMMYFUNCTION("if(ISBLANK(A439),, if('RHS INPUT'!E439=1,CONCATENATE(CHAR(34),To_Text('RHS INPUT'!C439),CHAR(34),CHAR(44)),""""))"),"""optic_Yorris"",")</f>
        <v>"optic_Yorris",</v>
      </c>
      <c r="F439" s="28" t="str">
        <f>IF(isblank(A439) ,Concatenate("&gt; ",'RHS INPUT'!A439) , if('RHS INPUT'!F439=1,CONCATENATE(round('RHS INPUT'!N439),Char(44)," ",'RHS INPUT'!C439),""))</f>
        <v>56, optic_Yorris</v>
      </c>
    </row>
    <row r="440" ht="12.0" customHeight="1">
      <c r="A440" s="1" t="str">
        <f>IFERROR(__xludf.DUMMYFUNCTION("if(ISBLANK('RHS INPUT'!C440),,CONCATENATE(CHAR(34),To_Text('RHS INPUT'!C440),CHAR(34),CHAR(44)))"),"""rhs_acc_1p29"",")</f>
        <v>"rhs_acc_1p29",</v>
      </c>
      <c r="B440" s="18" t="str">
        <f>if(isblank('RHS INPUT'!A440),,CONCATENATE("/*  ",'RHS INPUT'!A440,"  */"))</f>
        <v/>
      </c>
      <c r="C440" s="22" t="str">
        <f>if(isblank(A440),,if('RHS INPUT'!D440=1,Concatenate("class ",'RHS INPUT'!C440),))</f>
        <v>class rhs_acc_1p29</v>
      </c>
      <c r="D440" s="27" t="str">
        <f>if(ISBLANK(A440),,if('RHS INPUT'!D440=1,CONCATENATE("{quality = ",'RHS INPUT'!G440,"; price = ",Round('RHS INPUT'!M440),";};"),""))</f>
        <v>{quality = 1; price = 200;};</v>
      </c>
      <c r="E440" t="str">
        <f>IFERROR(__xludf.DUMMYFUNCTION("if(ISBLANK(A440),, if('RHS INPUT'!E440=1,CONCATENATE(CHAR(34),To_Text('RHS INPUT'!C440),CHAR(34),CHAR(44)),""""))"),"""rhs_acc_1p29"",")</f>
        <v>"rhs_acc_1p29",</v>
      </c>
      <c r="F440" s="28" t="str">
        <f>IF(isblank(A440) ,Concatenate("&gt; ",'RHS INPUT'!A440) , if('RHS INPUT'!F440=1,CONCATENATE(round('RHS INPUT'!N440),Char(44)," ",'RHS INPUT'!C440),""))</f>
        <v>33, rhs_acc_1p29</v>
      </c>
    </row>
    <row r="441" ht="12.0" customHeight="1">
      <c r="A441" s="1" t="str">
        <f>IFERROR(__xludf.DUMMYFUNCTION("if(ISBLANK('RHS INPUT'!C441),,CONCATENATE(CHAR(34),To_Text('RHS INPUT'!C441),CHAR(34),CHAR(44)))"),"""rhs_acc_1p63"",")</f>
        <v>"rhs_acc_1p63",</v>
      </c>
      <c r="B441" s="18" t="str">
        <f>if(isblank('RHS INPUT'!A441),,CONCATENATE("/*  ",'RHS INPUT'!A441,"  */"))</f>
        <v/>
      </c>
      <c r="C441" s="22" t="str">
        <f>if(isblank(A441),,if('RHS INPUT'!D441=1,Concatenate("class ",'RHS INPUT'!C441),))</f>
        <v>class rhs_acc_1p63</v>
      </c>
      <c r="D441" s="27" t="str">
        <f>if(ISBLANK(A441),,if('RHS INPUT'!D441=1,CONCATENATE("{quality = ",'RHS INPUT'!G441,"; price = ",Round('RHS INPUT'!M441),";};"),""))</f>
        <v>{quality = 1; price = 100;};</v>
      </c>
      <c r="E441" t="str">
        <f>IFERROR(__xludf.DUMMYFUNCTION("if(ISBLANK(A441),, if('RHS INPUT'!E441=1,CONCATENATE(CHAR(34),To_Text('RHS INPUT'!C441),CHAR(34),CHAR(44)),""""))"),"""rhs_acc_1p63"",")</f>
        <v>"rhs_acc_1p63",</v>
      </c>
      <c r="F441" s="28" t="str">
        <f>IF(isblank(A441) ,Concatenate("&gt; ",'RHS INPUT'!A441) , if('RHS INPUT'!F441=1,CONCATENATE(round('RHS INPUT'!N441),Char(44)," ",'RHS INPUT'!C441),""))</f>
        <v>50, rhs_acc_1p63</v>
      </c>
    </row>
    <row r="442" ht="12.0" customHeight="1">
      <c r="A442" s="1" t="str">
        <f>IFERROR(__xludf.DUMMYFUNCTION("if(ISBLANK('RHS INPUT'!C442),,CONCATENATE(CHAR(34),To_Text('RHS INPUT'!C442),CHAR(34),CHAR(44)))"),"""rhs_acc_1p78"",")</f>
        <v>"rhs_acc_1p78",</v>
      </c>
      <c r="B442" s="18" t="str">
        <f>if(isblank('RHS INPUT'!A442),,CONCATENATE("/*  ",'RHS INPUT'!A442,"  */"))</f>
        <v/>
      </c>
      <c r="C442" s="22" t="str">
        <f>if(isblank(A442),,if('RHS INPUT'!D442=1,Concatenate("class ",'RHS INPUT'!C442),))</f>
        <v>class rhs_acc_1p78</v>
      </c>
      <c r="D442" s="27" t="str">
        <f>if(ISBLANK(A442),,if('RHS INPUT'!D442=1,CONCATENATE("{quality = ",'RHS INPUT'!G442,"; price = ",Round('RHS INPUT'!M442),";};"),""))</f>
        <v>{quality = 1; price = 150;};</v>
      </c>
      <c r="E442" t="str">
        <f>IFERROR(__xludf.DUMMYFUNCTION("if(ISBLANK(A442),, if('RHS INPUT'!E442=1,CONCATENATE(CHAR(34),To_Text('RHS INPUT'!C442),CHAR(34),CHAR(44)),""""))"),"""rhs_acc_1p78"",")</f>
        <v>"rhs_acc_1p78",</v>
      </c>
      <c r="F442" s="28" t="str">
        <f>IF(isblank(A442) ,Concatenate("&gt; ",'RHS INPUT'!A442) , if('RHS INPUT'!F442=1,CONCATENATE(round('RHS INPUT'!N442),Char(44)," ",'RHS INPUT'!C442),""))</f>
        <v>40, rhs_acc_1p78</v>
      </c>
    </row>
    <row r="443" ht="12.0" customHeight="1">
      <c r="A443" s="1" t="str">
        <f>IFERROR(__xludf.DUMMYFUNCTION("if(ISBLANK('RHS INPUT'!C443),,CONCATENATE(CHAR(34),To_Text('RHS INPUT'!C443),CHAR(34),CHAR(44)))"),"""rhs_acc_1pn93_1"",")</f>
        <v>"rhs_acc_1pn93_1",</v>
      </c>
      <c r="B443" s="18" t="str">
        <f>if(isblank('RHS INPUT'!A443),,CONCATENATE("/*  ",'RHS INPUT'!A443,"  */"))</f>
        <v/>
      </c>
      <c r="C443" s="22" t="str">
        <f>if(isblank(A443),,if('RHS INPUT'!D443=1,Concatenate("class ",'RHS INPUT'!C443),))</f>
        <v>class rhs_acc_1pn93_1</v>
      </c>
      <c r="D443" s="27" t="str">
        <f>if(ISBLANK(A443),,if('RHS INPUT'!D443=1,CONCATENATE("{quality = ",'RHS INPUT'!G443,"; price = ",Round('RHS INPUT'!M443),";};"),""))</f>
        <v>{quality = 3; price = 450;};</v>
      </c>
      <c r="E443" t="str">
        <f>IFERROR(__xludf.DUMMYFUNCTION("if(ISBLANK(A443),, if('RHS INPUT'!E443=1,CONCATENATE(CHAR(34),To_Text('RHS INPUT'!C443),CHAR(34),CHAR(44)),""""))"),"""rhs_acc_1pn93_1"",")</f>
        <v>"rhs_acc_1pn93_1",</v>
      </c>
      <c r="F443" s="28" t="str">
        <f>IF(isblank(A443) ,Concatenate("&gt; ",'RHS INPUT'!A443) , if('RHS INPUT'!F443=1,CONCATENATE(round('RHS INPUT'!N443),Char(44)," ",'RHS INPUT'!C443),""))</f>
        <v>18, rhs_acc_1pn93_1</v>
      </c>
    </row>
    <row r="444" ht="12.0" customHeight="1">
      <c r="A444" s="1" t="str">
        <f>IFERROR(__xludf.DUMMYFUNCTION("if(ISBLANK('RHS INPUT'!C444),,CONCATENATE(CHAR(34),To_Text('RHS INPUT'!C444),CHAR(34),CHAR(44)))"),"""rhs_acc_1pn93_2"",")</f>
        <v>"rhs_acc_1pn93_2",</v>
      </c>
      <c r="B444" s="18" t="str">
        <f>if(isblank('RHS INPUT'!A444),,CONCATENATE("/*  ",'RHS INPUT'!A444,"  */"))</f>
        <v/>
      </c>
      <c r="C444" s="22" t="str">
        <f>if(isblank(A444),,if('RHS INPUT'!D444=1,Concatenate("class ",'RHS INPUT'!C444),))</f>
        <v>class rhs_acc_1pn93_2</v>
      </c>
      <c r="D444" s="27" t="str">
        <f>if(ISBLANK(A444),,if('RHS INPUT'!D444=1,CONCATENATE("{quality = ",'RHS INPUT'!G444,"; price = ",Round('RHS INPUT'!M444),";};"),""))</f>
        <v>{quality = 3; price = 600;};</v>
      </c>
      <c r="E444" t="str">
        <f>IFERROR(__xludf.DUMMYFUNCTION("if(ISBLANK(A444),, if('RHS INPUT'!E444=1,CONCATENATE(CHAR(34),To_Text('RHS INPUT'!C444),CHAR(34),CHAR(44)),""""))"),"""rhs_acc_1pn93_2"",")</f>
        <v>"rhs_acc_1pn93_2",</v>
      </c>
      <c r="F444" s="28" t="str">
        <f>IF(isblank(A444) ,Concatenate("&gt; ",'RHS INPUT'!A444) , if('RHS INPUT'!F444=1,CONCATENATE(round('RHS INPUT'!N444),Char(44)," ",'RHS INPUT'!C444),""))</f>
        <v>14, rhs_acc_1pn93_2</v>
      </c>
    </row>
    <row r="445" ht="12.0" customHeight="1">
      <c r="A445" s="1" t="str">
        <f>IFERROR(__xludf.DUMMYFUNCTION("if(ISBLANK('RHS INPUT'!C445),,CONCATENATE(CHAR(34),To_Text('RHS INPUT'!C445),CHAR(34),CHAR(44)))"),"""rhs_acc_pkas"",")</f>
        <v>"rhs_acc_pkas",</v>
      </c>
      <c r="B445" s="18" t="str">
        <f>if(isblank('RHS INPUT'!A445),,CONCATENATE("/*  ",'RHS INPUT'!A445,"  */"))</f>
        <v/>
      </c>
      <c r="C445" s="22" t="str">
        <f>if(isblank(A445),,if('RHS INPUT'!D445=1,Concatenate("class ",'RHS INPUT'!C445),))</f>
        <v>class rhs_acc_pkas</v>
      </c>
      <c r="D445" s="27" t="str">
        <f>if(ISBLANK(A445),,if('RHS INPUT'!D445=1,CONCATENATE("{quality = ",'RHS INPUT'!G445,"; price = ",Round('RHS INPUT'!M445),";};"),""))</f>
        <v>{quality = 1; price = 100;};</v>
      </c>
      <c r="E445" t="str">
        <f>IFERROR(__xludf.DUMMYFUNCTION("if(ISBLANK(A445),, if('RHS INPUT'!E445=1,CONCATENATE(CHAR(34),To_Text('RHS INPUT'!C445),CHAR(34),CHAR(44)),""""))"),"""rhs_acc_pkas"",")</f>
        <v>"rhs_acc_pkas",</v>
      </c>
      <c r="F445" s="28" t="str">
        <f>IF(isblank(A445) ,Concatenate("&gt; ",'RHS INPUT'!A445) , if('RHS INPUT'!F445=1,CONCATENATE(round('RHS INPUT'!N445),Char(44)," ",'RHS INPUT'!C445),""))</f>
        <v>50, rhs_acc_pkas</v>
      </c>
    </row>
    <row r="446" ht="12.0" customHeight="1">
      <c r="A446" s="1" t="str">
        <f>IFERROR(__xludf.DUMMYFUNCTION("if(ISBLANK('RHS INPUT'!C446),,CONCATENATE(CHAR(34),To_Text('RHS INPUT'!C446),CHAR(34),CHAR(44)))"),"""rhs_acc_ekp1"",")</f>
        <v>"rhs_acc_ekp1",</v>
      </c>
      <c r="B446" s="18" t="str">
        <f>if(isblank('RHS INPUT'!A446),,CONCATENATE("/*  ",'RHS INPUT'!A446,"  */"))</f>
        <v/>
      </c>
      <c r="C446" s="22" t="str">
        <f>if(isblank(A446),,if('RHS INPUT'!D446=1,Concatenate("class ",'RHS INPUT'!C446),))</f>
        <v>class rhs_acc_ekp1</v>
      </c>
      <c r="D446" s="27" t="str">
        <f>if(ISBLANK(A446),,if('RHS INPUT'!D446=1,CONCATENATE("{quality = ",'RHS INPUT'!G446,"; price = ",Round('RHS INPUT'!M446),";};"),""))</f>
        <v>{quality = 1; price = 100;};</v>
      </c>
      <c r="E446" t="str">
        <f>IFERROR(__xludf.DUMMYFUNCTION("if(ISBLANK(A446),, if('RHS INPUT'!E446=1,CONCATENATE(CHAR(34),To_Text('RHS INPUT'!C446),CHAR(34),CHAR(44)),""""))"),"""rhs_acc_ekp1"",")</f>
        <v>"rhs_acc_ekp1",</v>
      </c>
      <c r="F446" s="28" t="str">
        <f>IF(isblank(A446) ,Concatenate("&gt; ",'RHS INPUT'!A446) , if('RHS INPUT'!F446=1,CONCATENATE(round('RHS INPUT'!N446),Char(44)," ",'RHS INPUT'!C446),""))</f>
        <v>50, rhs_acc_ekp1</v>
      </c>
    </row>
    <row r="447" ht="12.0" customHeight="1">
      <c r="A447" s="1" t="str">
        <f>IFERROR(__xludf.DUMMYFUNCTION("if(ISBLANK('RHS INPUT'!C447),,CONCATENATE(CHAR(34),To_Text('RHS INPUT'!C447),CHAR(34),CHAR(44)))"),"""rhs_acc_pso1m2"",")</f>
        <v>"rhs_acc_pso1m2",</v>
      </c>
      <c r="B447" s="18" t="str">
        <f>if(isblank('RHS INPUT'!A447),,CONCATENATE("/*  ",'RHS INPUT'!A447,"  */"))</f>
        <v/>
      </c>
      <c r="C447" s="22" t="str">
        <f>if(isblank(A447),,if('RHS INPUT'!D447=1,Concatenate("class ",'RHS INPUT'!C447),))</f>
        <v>class rhs_acc_pso1m2</v>
      </c>
      <c r="D447" s="27" t="str">
        <f>if(ISBLANK(A447),,if('RHS INPUT'!D447=1,CONCATENATE("{quality = ",'RHS INPUT'!G447,"; price = ",Round('RHS INPUT'!M447),";};"),""))</f>
        <v>{quality = 1; price = 200;};</v>
      </c>
      <c r="E447" t="str">
        <f>IFERROR(__xludf.DUMMYFUNCTION("if(ISBLANK(A447),, if('RHS INPUT'!E447=1,CONCATENATE(CHAR(34),To_Text('RHS INPUT'!C447),CHAR(34),CHAR(44)),""""))"),"""rhs_acc_pso1m2"",")</f>
        <v>"rhs_acc_pso1m2",</v>
      </c>
      <c r="F447" s="28" t="str">
        <f>IF(isblank(A447) ,Concatenate("&gt; ",'RHS INPUT'!A447) , if('RHS INPUT'!F447=1,CONCATENATE(round('RHS INPUT'!N447),Char(44)," ",'RHS INPUT'!C447),""))</f>
        <v>33, rhs_acc_pso1m2</v>
      </c>
    </row>
    <row r="448" ht="12.0" customHeight="1">
      <c r="A448" s="1" t="str">
        <f>IFERROR(__xludf.DUMMYFUNCTION("if(ISBLANK('RHS INPUT'!C448),,CONCATENATE(CHAR(34),To_Text('RHS INPUT'!C448),CHAR(34),CHAR(44)))"),"""rhs_acc_pgo7v"",")</f>
        <v>"rhs_acc_pgo7v",</v>
      </c>
      <c r="B448" s="18" t="str">
        <f>if(isblank('RHS INPUT'!A448),,CONCATENATE("/*  ",'RHS INPUT'!A448,"  */"))</f>
        <v/>
      </c>
      <c r="C448" s="22" t="str">
        <f>if(isblank(A448),,if('RHS INPUT'!D448=1,Concatenate("class ",'RHS INPUT'!C448),))</f>
        <v>class rhs_acc_pgo7v</v>
      </c>
      <c r="D448" s="27" t="str">
        <f>if(ISBLANK(A448),,if('RHS INPUT'!D448=1,CONCATENATE("{quality = ",'RHS INPUT'!G448,"; price = ",Round('RHS INPUT'!M448),";};"),""))</f>
        <v>{quality = 1; price = 150;};</v>
      </c>
      <c r="E448" t="str">
        <f>IFERROR(__xludf.DUMMYFUNCTION("if(ISBLANK(A448),, if('RHS INPUT'!E448=1,CONCATENATE(CHAR(34),To_Text('RHS INPUT'!C448),CHAR(34),CHAR(44)),""""))"),"""rhs_acc_pgo7v"",")</f>
        <v>"rhs_acc_pgo7v",</v>
      </c>
      <c r="F448" s="28" t="str">
        <f>IF(isblank(A448) ,Concatenate("&gt; ",'RHS INPUT'!A448) , if('RHS INPUT'!F448=1,CONCATENATE(round('RHS INPUT'!N448),Char(44)," ",'RHS INPUT'!C448),""))</f>
        <v>40, rhs_acc_pgo7v</v>
      </c>
    </row>
    <row r="449" ht="12.0" customHeight="1">
      <c r="A449" s="1" t="str">
        <f>IFERROR(__xludf.DUMMYFUNCTION("if(ISBLANK('RHS INPUT'!C449),,CONCATENATE(CHAR(34),To_Text('RHS INPUT'!C449),CHAR(34),CHAR(44)))"),"""rhsusf_acc_compm4"",")</f>
        <v>"rhsusf_acc_compm4",</v>
      </c>
      <c r="B449" s="18" t="str">
        <f>if(isblank('RHS INPUT'!A449),,CONCATENATE("/*  ",'RHS INPUT'!A449,"  */"))</f>
        <v/>
      </c>
      <c r="C449" s="22" t="str">
        <f>if(isblank(A449),,if('RHS INPUT'!D449=1,Concatenate("class ",'RHS INPUT'!C449),))</f>
        <v>class rhsusf_acc_compm4</v>
      </c>
      <c r="D449" s="27" t="str">
        <f>if(ISBLANK(A449),,if('RHS INPUT'!D449=1,CONCATENATE("{quality = ",'RHS INPUT'!G449,"; price = ",Round('RHS INPUT'!M449),";};"),""))</f>
        <v>{quality = 1; price = 100;};</v>
      </c>
      <c r="E449" t="str">
        <f>IFERROR(__xludf.DUMMYFUNCTION("if(ISBLANK(A449),, if('RHS INPUT'!E449=1,CONCATENATE(CHAR(34),To_Text('RHS INPUT'!C449),CHAR(34),CHAR(44)),""""))"),"""rhsusf_acc_compm4"",")</f>
        <v>"rhsusf_acc_compm4",</v>
      </c>
      <c r="F449" s="28" t="str">
        <f>IF(isblank(A449) ,Concatenate("&gt; ",'RHS INPUT'!A449) , if('RHS INPUT'!F449=1,CONCATENATE(round('RHS INPUT'!N449),Char(44)," ",'RHS INPUT'!C449),""))</f>
        <v>50, rhsusf_acc_compm4</v>
      </c>
    </row>
    <row r="450" ht="12.0" customHeight="1">
      <c r="A450" s="1" t="str">
        <f>IFERROR(__xludf.DUMMYFUNCTION("if(ISBLANK('RHS INPUT'!C450),,CONCATENATE(CHAR(34),To_Text('RHS INPUT'!C450),CHAR(34),CHAR(44)))"),"""rhsusf_acc_eotech_552"",")</f>
        <v>"rhsusf_acc_eotech_552",</v>
      </c>
      <c r="B450" s="18" t="str">
        <f>if(isblank('RHS INPUT'!A450),,CONCATENATE("/*  ",'RHS INPUT'!A450,"  */"))</f>
        <v/>
      </c>
      <c r="C450" s="22" t="str">
        <f>if(isblank(A450),,if('RHS INPUT'!D450=1,Concatenate("class ",'RHS INPUT'!C450),))</f>
        <v>class rhsusf_acc_eotech_552</v>
      </c>
      <c r="D450" s="27" t="str">
        <f>if(ISBLANK(A450),,if('RHS INPUT'!D450=1,CONCATENATE("{quality = ",'RHS INPUT'!G450,"; price = ",Round('RHS INPUT'!M450),";};"),""))</f>
        <v>{quality = 1; price = 100;};</v>
      </c>
      <c r="E450" t="str">
        <f>IFERROR(__xludf.DUMMYFUNCTION("if(ISBLANK(A450),, if('RHS INPUT'!E450=1,CONCATENATE(CHAR(34),To_Text('RHS INPUT'!C450),CHAR(34),CHAR(44)),""""))"),"""rhsusf_acc_eotech_552"",")</f>
        <v>"rhsusf_acc_eotech_552",</v>
      </c>
      <c r="F450" s="28" t="str">
        <f>IF(isblank(A450) ,Concatenate("&gt; ",'RHS INPUT'!A450) , if('RHS INPUT'!F450=1,CONCATENATE(round('RHS INPUT'!N450),Char(44)," ",'RHS INPUT'!C450),""))</f>
        <v>50, rhsusf_acc_eotech_552</v>
      </c>
    </row>
    <row r="451" ht="12.0" customHeight="1">
      <c r="A451" s="1" t="str">
        <f>IFERROR(__xludf.DUMMYFUNCTION("if(ISBLANK('RHS INPUT'!C451),,CONCATENATE(CHAR(34),To_Text('RHS INPUT'!C451),CHAR(34),CHAR(44)))"),"""rhsusf_acc_LEUPOLDMK4"",")</f>
        <v>"rhsusf_acc_LEUPOLDMK4",</v>
      </c>
      <c r="B451" s="18" t="str">
        <f>if(isblank('RHS INPUT'!A451),,CONCATENATE("/*  ",'RHS INPUT'!A451,"  */"))</f>
        <v/>
      </c>
      <c r="C451" s="22" t="str">
        <f>if(isblank(A451),,if('RHS INPUT'!D451=1,Concatenate("class ",'RHS INPUT'!C451),))</f>
        <v>class rhsusf_acc_LEUPOLDMK4</v>
      </c>
      <c r="D451" s="27" t="str">
        <f>if(ISBLANK(A451),,if('RHS INPUT'!D451=1,CONCATENATE("{quality = ",'RHS INPUT'!G451,"; price = ",Round('RHS INPUT'!M451),";};"),""))</f>
        <v>{quality = 2; price = 400;};</v>
      </c>
      <c r="E451" t="str">
        <f>IFERROR(__xludf.DUMMYFUNCTION("if(ISBLANK(A451),, if('RHS INPUT'!E451=1,CONCATENATE(CHAR(34),To_Text('RHS INPUT'!C451),CHAR(34),CHAR(44)),""""))"),"""rhsusf_acc_LEUPOLDMK4"",")</f>
        <v>"rhsusf_acc_LEUPOLDMK4",</v>
      </c>
      <c r="F451" s="28" t="str">
        <f>IF(isblank(A451) ,Concatenate("&gt; ",'RHS INPUT'!A451) , if('RHS INPUT'!F451=1,CONCATENATE(round('RHS INPUT'!N451),Char(44)," ",'RHS INPUT'!C451),""))</f>
        <v>20, rhsusf_acc_LEUPOLDMK4</v>
      </c>
    </row>
    <row r="452" ht="12.0" customHeight="1">
      <c r="A452" s="1" t="str">
        <f>IFERROR(__xludf.DUMMYFUNCTION("if(ISBLANK('RHS INPUT'!C452),,CONCATENATE(CHAR(34),To_Text('RHS INPUT'!C452),CHAR(34),CHAR(44)))"),"""rhsusf_acc_LEUPOLDMK4_2"",")</f>
        <v>"rhsusf_acc_LEUPOLDMK4_2",</v>
      </c>
      <c r="B452" s="18" t="str">
        <f>if(isblank('RHS INPUT'!A452),,CONCATENATE("/*  ",'RHS INPUT'!A452,"  */"))</f>
        <v/>
      </c>
      <c r="C452" s="22" t="str">
        <f>if(isblank(A452),,if('RHS INPUT'!D452=1,Concatenate("class ",'RHS INPUT'!C452),))</f>
        <v>class rhsusf_acc_LEUPOLDMK4_2</v>
      </c>
      <c r="D452" s="27" t="str">
        <f>if(ISBLANK(A452),,if('RHS INPUT'!D452=1,CONCATENATE("{quality = ",'RHS INPUT'!G452,"; price = ",Round('RHS INPUT'!M452),";};"),""))</f>
        <v>{quality = 2; price = 600;};</v>
      </c>
      <c r="E452" t="str">
        <f>IFERROR(__xludf.DUMMYFUNCTION("if(ISBLANK(A452),, if('RHS INPUT'!E452=1,CONCATENATE(CHAR(34),To_Text('RHS INPUT'!C452),CHAR(34),CHAR(44)),""""))"),"""rhsusf_acc_LEUPOLDMK4_2"",")</f>
        <v>"rhsusf_acc_LEUPOLDMK4_2",</v>
      </c>
      <c r="F452" s="28" t="str">
        <f>IF(isblank(A452) ,Concatenate("&gt; ",'RHS INPUT'!A452) , if('RHS INPUT'!F452=1,CONCATENATE(round('RHS INPUT'!N452),Char(44)," ",'RHS INPUT'!C452),""))</f>
        <v>14, rhsusf_acc_LEUPOLDMK4_2</v>
      </c>
    </row>
    <row r="453" ht="12.0" customHeight="1">
      <c r="A453" s="1" t="str">
        <f>IFERROR(__xludf.DUMMYFUNCTION("if(ISBLANK('RHS INPUT'!C453),,CONCATENATE(CHAR(34),To_Text('RHS INPUT'!C453),CHAR(34),CHAR(44)))"),"""rhsusf_acc_ELCAN"",")</f>
        <v>"rhsusf_acc_ELCAN",</v>
      </c>
      <c r="B453" s="18" t="str">
        <f>if(isblank('RHS INPUT'!A453),,CONCATENATE("/*  ",'RHS INPUT'!A453,"  */"))</f>
        <v/>
      </c>
      <c r="C453" s="22" t="str">
        <f>if(isblank(A453),,if('RHS INPUT'!D453=1,Concatenate("class ",'RHS INPUT'!C453),))</f>
        <v>class rhsusf_acc_ELCAN</v>
      </c>
      <c r="D453" s="27" t="str">
        <f>if(ISBLANK(A453),,if('RHS INPUT'!D453=1,CONCATENATE("{quality = ",'RHS INPUT'!G453,"; price = ",Round('RHS INPUT'!M453),";};"),""))</f>
        <v>{quality = 1; price = 150;};</v>
      </c>
      <c r="E453" t="str">
        <f>IFERROR(__xludf.DUMMYFUNCTION("if(ISBLANK(A453),, if('RHS INPUT'!E453=1,CONCATENATE(CHAR(34),To_Text('RHS INPUT'!C453),CHAR(34),CHAR(44)),""""))"),"""rhsusf_acc_ELCAN"",")</f>
        <v>"rhsusf_acc_ELCAN",</v>
      </c>
      <c r="F453" s="28" t="str">
        <f>IF(isblank(A453) ,Concatenate("&gt; ",'RHS INPUT'!A453) , if('RHS INPUT'!F453=1,CONCATENATE(round('RHS INPUT'!N453),Char(44)," ",'RHS INPUT'!C453),""))</f>
        <v>40, rhsusf_acc_ELCAN</v>
      </c>
    </row>
    <row r="454" ht="12.0" customHeight="1">
      <c r="A454" s="1" t="str">
        <f>IFERROR(__xludf.DUMMYFUNCTION("if(ISBLANK('RHS INPUT'!C454),,CONCATENATE(CHAR(34),To_Text('RHS INPUT'!C454),CHAR(34),CHAR(44)))"),"""rhsusf_acc_ACOG"",")</f>
        <v>"rhsusf_acc_ACOG",</v>
      </c>
      <c r="B454" s="18" t="str">
        <f>if(isblank('RHS INPUT'!A454),,CONCATENATE("/*  ",'RHS INPUT'!A454,"  */"))</f>
        <v/>
      </c>
      <c r="C454" s="22" t="str">
        <f>if(isblank(A454),,if('RHS INPUT'!D454=1,Concatenate("class ",'RHS INPUT'!C454),))</f>
        <v>class rhsusf_acc_ACOG</v>
      </c>
      <c r="D454" s="27" t="str">
        <f>if(ISBLANK(A454),,if('RHS INPUT'!D454=1,CONCATENATE("{quality = ",'RHS INPUT'!G454,"; price = ",Round('RHS INPUT'!M454),";};"),""))</f>
        <v>{quality = 1; price = 200;};</v>
      </c>
      <c r="E454" t="str">
        <f>IFERROR(__xludf.DUMMYFUNCTION("if(ISBLANK(A454),, if('RHS INPUT'!E454=1,CONCATENATE(CHAR(34),To_Text('RHS INPUT'!C454),CHAR(34),CHAR(44)),""""))"),"""rhsusf_acc_ACOG"",")</f>
        <v>"rhsusf_acc_ACOG",</v>
      </c>
      <c r="F454" s="28" t="str">
        <f>IF(isblank(A454) ,Concatenate("&gt; ",'RHS INPUT'!A454) , if('RHS INPUT'!F454=1,CONCATENATE(round('RHS INPUT'!N454),Char(44)," ",'RHS INPUT'!C454),""))</f>
        <v>33, rhsusf_acc_ACOG</v>
      </c>
    </row>
    <row r="455" ht="12.0" customHeight="1">
      <c r="A455" s="1" t="str">
        <f>IFERROR(__xludf.DUMMYFUNCTION("if(ISBLANK('RHS INPUT'!C455),,CONCATENATE(CHAR(34),To_Text('RHS INPUT'!C455),CHAR(34),CHAR(44)))"),"""rhsusf_acc_ACOG2"",")</f>
        <v>"rhsusf_acc_ACOG2",</v>
      </c>
      <c r="B455" s="18" t="str">
        <f>if(isblank('RHS INPUT'!A455),,CONCATENATE("/*  ",'RHS INPUT'!A455,"  */"))</f>
        <v/>
      </c>
      <c r="C455" s="22" t="str">
        <f>if(isblank(A455),,if('RHS INPUT'!D455=1,Concatenate("class ",'RHS INPUT'!C455),))</f>
        <v>class rhsusf_acc_ACOG2</v>
      </c>
      <c r="D455" s="27" t="str">
        <f>if(ISBLANK(A455),,if('RHS INPUT'!D455=1,CONCATENATE("{quality = ",'RHS INPUT'!G455,"; price = ",Round('RHS INPUT'!M455),";};"),""))</f>
        <v>{quality = 1; price = 200;};</v>
      </c>
      <c r="E455" t="str">
        <f>IFERROR(__xludf.DUMMYFUNCTION("if(ISBLANK(A455),, if('RHS INPUT'!E455=1,CONCATENATE(CHAR(34),To_Text('RHS INPUT'!C455),CHAR(34),CHAR(44)),""""))"),"""rhsusf_acc_ACOG2"",")</f>
        <v>"rhsusf_acc_ACOG2",</v>
      </c>
      <c r="F455" s="28" t="str">
        <f>IF(isblank(A455) ,Concatenate("&gt; ",'RHS INPUT'!A455) , if('RHS INPUT'!F455=1,CONCATENATE(round('RHS INPUT'!N455),Char(44)," ",'RHS INPUT'!C455),""))</f>
        <v>33, rhsusf_acc_ACOG2</v>
      </c>
    </row>
    <row r="456" ht="12.0" customHeight="1">
      <c r="A456" s="1" t="str">
        <f>IFERROR(__xludf.DUMMYFUNCTION("if(ISBLANK('RHS INPUT'!C456),,CONCATENATE(CHAR(34),To_Text('RHS INPUT'!C456),CHAR(34),CHAR(44)))"),"""rhsusf_acc_ACOG3"",")</f>
        <v>"rhsusf_acc_ACOG3",</v>
      </c>
      <c r="B456" s="18" t="str">
        <f>if(isblank('RHS INPUT'!A456),,CONCATENATE("/*  ",'RHS INPUT'!A456,"  */"))</f>
        <v/>
      </c>
      <c r="C456" s="22" t="str">
        <f>if(isblank(A456),,if('RHS INPUT'!D456=1,Concatenate("class ",'RHS INPUT'!C456),))</f>
        <v>class rhsusf_acc_ACOG3</v>
      </c>
      <c r="D456" s="27" t="str">
        <f>if(ISBLANK(A456),,if('RHS INPUT'!D456=1,CONCATENATE("{quality = ",'RHS INPUT'!G456,"; price = ",Round('RHS INPUT'!M456),";};"),""))</f>
        <v>{quality = 1; price = 200;};</v>
      </c>
      <c r="E456" t="str">
        <f>IFERROR(__xludf.DUMMYFUNCTION("if(ISBLANK(A456),, if('RHS INPUT'!E456=1,CONCATENATE(CHAR(34),To_Text('RHS INPUT'!C456),CHAR(34),CHAR(44)),""""))"),"""rhsusf_acc_ACOG3"",")</f>
        <v>"rhsusf_acc_ACOG3",</v>
      </c>
      <c r="F456" s="28" t="str">
        <f>IF(isblank(A456) ,Concatenate("&gt; ",'RHS INPUT'!A456) , if('RHS INPUT'!F456=1,CONCATENATE(round('RHS INPUT'!N456),Char(44)," ",'RHS INPUT'!C456),""))</f>
        <v>33, rhsusf_acc_ACOG3</v>
      </c>
    </row>
    <row r="457" ht="12.0" customHeight="1">
      <c r="A457" s="1" t="str">
        <f>IFERROR(__xludf.DUMMYFUNCTION("if(ISBLANK('RHS INPUT'!C457),,CONCATENATE(CHAR(34),To_Text('RHS INPUT'!C457),CHAR(34),CHAR(44)))"),"")</f>
        <v/>
      </c>
      <c r="B457" s="18" t="str">
        <f>if(isblank('RHS INPUT'!A457),,CONCATENATE("/*  ",'RHS INPUT'!A457,"  */"))</f>
        <v>/*  POINTER_ATTACHMENTS  */</v>
      </c>
      <c r="C457" s="22" t="str">
        <f>if(isblank(A457),,if('RHS INPUT'!D457=1,Concatenate("class ",'RHS INPUT'!C457),))</f>
        <v/>
      </c>
      <c r="D457" s="27" t="str">
        <f>if(ISBLANK(A457),,if('RHS INPUT'!D457=1,CONCATENATE("{quality = ",'RHS INPUT'!G457,"; price = ",Round('RHS INPUT'!M457),";};"),""))</f>
        <v/>
      </c>
      <c r="E457" t="str">
        <f>IFERROR(__xludf.DUMMYFUNCTION("if(ISBLANK(A457),, if('RHS INPUT'!E457=1,CONCATENATE(CHAR(34),To_Text('RHS INPUT'!C457),CHAR(34),CHAR(44)),""""))"),"")</f>
        <v/>
      </c>
      <c r="F457" s="28" t="str">
        <f>IF(isblank(A457) ,Concatenate("&gt; ",'RHS INPUT'!A457) , if('RHS INPUT'!F457=1,CONCATENATE(round('RHS INPUT'!N457),Char(44)," ",'RHS INPUT'!C457),""))</f>
        <v>&gt; POINTER_ATTACHMENTS</v>
      </c>
    </row>
    <row r="458" ht="12.0" customHeight="1">
      <c r="A458" s="1" t="str">
        <f>IFERROR(__xludf.DUMMYFUNCTION("if(ISBLANK('RHS INPUT'!C458),,CONCATENATE(CHAR(34),To_Text('RHS INPUT'!C458),CHAR(34),CHAR(44)))"),"""acc_flashlight"",")</f>
        <v>"acc_flashlight",</v>
      </c>
      <c r="B458" s="18" t="str">
        <f>if(isblank('RHS INPUT'!A458),,CONCATENATE("/*  ",'RHS INPUT'!A458,"  */"))</f>
        <v/>
      </c>
      <c r="C458" s="22" t="str">
        <f>if(isblank(A458),,if('RHS INPUT'!D458=1,Concatenate("class ",'RHS INPUT'!C458),))</f>
        <v>class acc_flashlight</v>
      </c>
      <c r="D458" s="27" t="str">
        <f>if(ISBLANK(A458),,if('RHS INPUT'!D458=1,CONCATENATE("{quality = ",'RHS INPUT'!G458,"; price = ",Round('RHS INPUT'!M458),";};"),""))</f>
        <v>{quality = 1; price = 50;};</v>
      </c>
      <c r="E458" t="str">
        <f>IFERROR(__xludf.DUMMYFUNCTION("if(ISBLANK(A458),, if('RHS INPUT'!E458=1,CONCATENATE(CHAR(34),To_Text('RHS INPUT'!C458),CHAR(34),CHAR(44)),""""))"),"""acc_flashlight"",")</f>
        <v>"acc_flashlight",</v>
      </c>
      <c r="F458" s="28" t="str">
        <f>IF(isblank(A458) ,Concatenate("&gt; ",'RHS INPUT'!A458) , if('RHS INPUT'!F458=1,CONCATENATE(round('RHS INPUT'!N458),Char(44)," ",'RHS INPUT'!C458),""))</f>
        <v>67, acc_flashlight</v>
      </c>
    </row>
    <row r="459" ht="12.0" customHeight="1">
      <c r="A459" s="1" t="str">
        <f>IFERROR(__xludf.DUMMYFUNCTION("if(ISBLANK('RHS INPUT'!C459),,CONCATENATE(CHAR(34),To_Text('RHS INPUT'!C459),CHAR(34),CHAR(44)))"),"""acc_pointer_IR"",")</f>
        <v>"acc_pointer_IR",</v>
      </c>
      <c r="B459" s="18" t="str">
        <f>if(isblank('RHS INPUT'!A459),,CONCATENATE("/*  ",'RHS INPUT'!A459,"  */"))</f>
        <v/>
      </c>
      <c r="C459" s="22" t="str">
        <f>if(isblank(A459),,if('RHS INPUT'!D459=1,Concatenate("class ",'RHS INPUT'!C459),))</f>
        <v>class acc_pointer_IR</v>
      </c>
      <c r="D459" s="27" t="str">
        <f>if(ISBLANK(A459),,if('RHS INPUT'!D459=1,CONCATENATE("{quality = ",'RHS INPUT'!G459,"; price = ",Round('RHS INPUT'!M459),";};"),""))</f>
        <v>{quality = 1; price = 100;};</v>
      </c>
      <c r="E459" t="str">
        <f>IFERROR(__xludf.DUMMYFUNCTION("if(ISBLANK(A459),, if('RHS INPUT'!E459=1,CONCATENATE(CHAR(34),To_Text('RHS INPUT'!C459),CHAR(34),CHAR(44)),""""))"),"""acc_pointer_IR"",")</f>
        <v>"acc_pointer_IR",</v>
      </c>
      <c r="F459" s="28" t="str">
        <f>IF(isblank(A459) ,Concatenate("&gt; ",'RHS INPUT'!A459) , if('RHS INPUT'!F459=1,CONCATENATE(round('RHS INPUT'!N459),Char(44)," ",'RHS INPUT'!C459),""))</f>
        <v>50, acc_pointer_IR</v>
      </c>
    </row>
    <row r="460" ht="12.0" customHeight="1">
      <c r="A460" s="1" t="str">
        <f>IFERROR(__xludf.DUMMYFUNCTION("if(ISBLANK('RHS INPUT'!C460),,CONCATENATE(CHAR(34),To_Text('RHS INPUT'!C460),CHAR(34),CHAR(44)))"),"""rhsusf_acc_anpeq15"",")</f>
        <v>"rhsusf_acc_anpeq15",</v>
      </c>
      <c r="B460" s="18" t="str">
        <f>if(isblank('RHS INPUT'!A460),,CONCATENATE("/*  ",'RHS INPUT'!A460,"  */"))</f>
        <v/>
      </c>
      <c r="C460" s="22" t="str">
        <f>if(isblank(A460),,if('RHS INPUT'!D460=1,Concatenate("class ",'RHS INPUT'!C460),))</f>
        <v>class rhsusf_acc_anpeq15</v>
      </c>
      <c r="D460" s="27" t="str">
        <f>if(ISBLANK(A460),,if('RHS INPUT'!D460=1,CONCATENATE("{quality = ",'RHS INPUT'!G460,"; price = ",Round('RHS INPUT'!M460),";};"),""))</f>
        <v>{quality = 1; price = 100;};</v>
      </c>
      <c r="E460" t="str">
        <f>IFERROR(__xludf.DUMMYFUNCTION("if(ISBLANK(A460),, if('RHS INPUT'!E460=1,CONCATENATE(CHAR(34),To_Text('RHS INPUT'!C460),CHAR(34),CHAR(44)),""""))"),"""rhsusf_acc_anpeq15"",")</f>
        <v>"rhsusf_acc_anpeq15",</v>
      </c>
      <c r="F460" s="28" t="str">
        <f>IF(isblank(A460) ,Concatenate("&gt; ",'RHS INPUT'!A460) , if('RHS INPUT'!F460=1,CONCATENATE(round('RHS INPUT'!N460),Char(44)," ",'RHS INPUT'!C460),""))</f>
        <v>50, rhsusf_acc_anpeq15</v>
      </c>
    </row>
    <row r="461" ht="12.0" customHeight="1">
      <c r="A461" s="1" t="str">
        <f>IFERROR(__xludf.DUMMYFUNCTION("if(ISBLANK('RHS INPUT'!C461),,CONCATENATE(CHAR(34),To_Text('RHS INPUT'!C461),CHAR(34),CHAR(44)))"),"""rhsusf_acc_anpeq15A"",")</f>
        <v>"rhsusf_acc_anpeq15A",</v>
      </c>
      <c r="B461" s="18" t="str">
        <f>if(isblank('RHS INPUT'!A461),,CONCATENATE("/*  ",'RHS INPUT'!A461,"  */"))</f>
        <v/>
      </c>
      <c r="C461" s="22" t="str">
        <f>if(isblank(A461),,if('RHS INPUT'!D461=1,Concatenate("class ",'RHS INPUT'!C461),))</f>
        <v>class rhsusf_acc_anpeq15A</v>
      </c>
      <c r="D461" s="27" t="str">
        <f>if(ISBLANK(A461),,if('RHS INPUT'!D461=1,CONCATENATE("{quality = ",'RHS INPUT'!G461,"; price = ",Round('RHS INPUT'!M461),";};"),""))</f>
        <v>{quality = 1; price = 100;};</v>
      </c>
      <c r="E461" t="str">
        <f>IFERROR(__xludf.DUMMYFUNCTION("if(ISBLANK(A461),, if('RHS INPUT'!E461=1,CONCATENATE(CHAR(34),To_Text('RHS INPUT'!C461),CHAR(34),CHAR(44)),""""))"),"""rhsusf_acc_anpeq15A"",")</f>
        <v>"rhsusf_acc_anpeq15A",</v>
      </c>
      <c r="F461" s="28" t="str">
        <f>IF(isblank(A461) ,Concatenate("&gt; ",'RHS INPUT'!A461) , if('RHS INPUT'!F461=1,CONCATENATE(round('RHS INPUT'!N461),Char(44)," ",'RHS INPUT'!C461),""))</f>
        <v>50, rhsusf_acc_anpeq15A</v>
      </c>
    </row>
    <row r="462" ht="12.0" customHeight="1">
      <c r="A462" s="1" t="str">
        <f>IFERROR(__xludf.DUMMYFUNCTION("if(ISBLANK('RHS INPUT'!C462),,CONCATENATE(CHAR(34),To_Text('RHS INPUT'!C462),CHAR(34),CHAR(44)))"),"""rhsusf_acc_anpeq15_light"",")</f>
        <v>"rhsusf_acc_anpeq15_light",</v>
      </c>
      <c r="B462" s="18" t="str">
        <f>if(isblank('RHS INPUT'!A462),,CONCATENATE("/*  ",'RHS INPUT'!A462,"  */"))</f>
        <v/>
      </c>
      <c r="C462" s="22" t="str">
        <f>if(isblank(A462),,if('RHS INPUT'!D462=1,Concatenate("class ",'RHS INPUT'!C462),))</f>
        <v>class rhsusf_acc_anpeq15_light</v>
      </c>
      <c r="D462" s="27" t="str">
        <f>if(ISBLANK(A462),,if('RHS INPUT'!D462=1,CONCATENATE("{quality = ",'RHS INPUT'!G462,"; price = ",Round('RHS INPUT'!M462),";};"),""))</f>
        <v>{quality = 2; price = 200;};</v>
      </c>
      <c r="E462" t="str">
        <f>IFERROR(__xludf.DUMMYFUNCTION("if(ISBLANK(A462),, if('RHS INPUT'!E462=1,CONCATENATE(CHAR(34),To_Text('RHS INPUT'!C462),CHAR(34),CHAR(44)),""""))"),"""rhsusf_acc_anpeq15_light"",")</f>
        <v>"rhsusf_acc_anpeq15_light",</v>
      </c>
      <c r="F462" s="28" t="str">
        <f>IF(isblank(A462) ,Concatenate("&gt; ",'RHS INPUT'!A462) , if('RHS INPUT'!F462=1,CONCATENATE(round('RHS INPUT'!N462),Char(44)," ",'RHS INPUT'!C462),""))</f>
        <v>33, rhsusf_acc_anpeq15_light</v>
      </c>
    </row>
    <row r="463" ht="12.0" customHeight="1">
      <c r="A463" s="1" t="str">
        <f>IFERROR(__xludf.DUMMYFUNCTION("if(ISBLANK('RHS INPUT'!C463),,CONCATENATE(CHAR(34),To_Text('RHS INPUT'!C463),CHAR(34),CHAR(44)))"),"")</f>
        <v/>
      </c>
      <c r="B463" s="18" t="str">
        <f>if(isblank('RHS INPUT'!A463),,CONCATENATE("/*  ",'RHS INPUT'!A463,"  */"))</f>
        <v>/*  BIPOD_ATTACHMENTS  */</v>
      </c>
      <c r="C463" s="22" t="str">
        <f>if(isblank(A463),,if('RHS INPUT'!D463=1,Concatenate("class ",'RHS INPUT'!C463),))</f>
        <v/>
      </c>
      <c r="D463" s="27" t="str">
        <f>if(ISBLANK(A463),,if('RHS INPUT'!D463=1,CONCATENATE("{quality = ",'RHS INPUT'!G463,"; price = ",Round('RHS INPUT'!M463),";};"),""))</f>
        <v/>
      </c>
      <c r="E463" t="str">
        <f>IFERROR(__xludf.DUMMYFUNCTION("if(ISBLANK(A463),, if('RHS INPUT'!E463=1,CONCATENATE(CHAR(34),To_Text('RHS INPUT'!C463),CHAR(34),CHAR(44)),""""))"),"")</f>
        <v/>
      </c>
      <c r="F463" s="28" t="str">
        <f>IF(isblank(A463) ,Concatenate("&gt; ",'RHS INPUT'!A463) , if('RHS INPUT'!F463=1,CONCATENATE(round('RHS INPUT'!N463),Char(44)," ",'RHS INPUT'!C463),""))</f>
        <v>&gt; BIPOD_ATTACHMENTS</v>
      </c>
    </row>
    <row r="464" ht="12.0" customHeight="1">
      <c r="A464" s="1" t="str">
        <f>IFERROR(__xludf.DUMMYFUNCTION("if(ISBLANK('RHS INPUT'!C464),,CONCATENATE(CHAR(34),To_Text('RHS INPUT'!C464),CHAR(34),CHAR(44)))"),"""bipod_01_F_blk"",")</f>
        <v>"bipod_01_F_blk",</v>
      </c>
      <c r="B464" s="18" t="str">
        <f>if(isblank('RHS INPUT'!A464),,CONCATENATE("/*  ",'RHS INPUT'!A464,"  */"))</f>
        <v/>
      </c>
      <c r="C464" s="22" t="str">
        <f>if(isblank(A464),,if('RHS INPUT'!D464=1,Concatenate("class ",'RHS INPUT'!C464),))</f>
        <v>class bipod_01_F_blk</v>
      </c>
      <c r="D464" s="27" t="str">
        <f>if(ISBLANK(A464),,if('RHS INPUT'!D464=1,CONCATENATE("{quality = ",'RHS INPUT'!G464,"; price = ",Round('RHS INPUT'!M464),";};"),""))</f>
        <v>{quality = 1; price = 50;};</v>
      </c>
      <c r="E464" t="str">
        <f>IFERROR(__xludf.DUMMYFUNCTION("if(ISBLANK(A464),, if('RHS INPUT'!E464=1,CONCATENATE(CHAR(34),To_Text('RHS INPUT'!C464),CHAR(34),CHAR(44)),""""))"),"""bipod_01_F_blk"",")</f>
        <v>"bipod_01_F_blk",</v>
      </c>
      <c r="F464" s="28" t="str">
        <f>IF(isblank(A464) ,Concatenate("&gt; ",'RHS INPUT'!A464) , if('RHS INPUT'!F464=1,CONCATENATE(round('RHS INPUT'!N464),Char(44)," ",'RHS INPUT'!C464),""))</f>
        <v>67, bipod_01_F_blk</v>
      </c>
    </row>
    <row r="465" ht="12.0" customHeight="1">
      <c r="A465" s="1" t="str">
        <f>IFERROR(__xludf.DUMMYFUNCTION("if(ISBLANK('RHS INPUT'!C465),,CONCATENATE(CHAR(34),To_Text('RHS INPUT'!C465),CHAR(34),CHAR(44)))"),"""bipod_01_F_mtp"",")</f>
        <v>"bipod_01_F_mtp",</v>
      </c>
      <c r="B465" s="18" t="str">
        <f>if(isblank('RHS INPUT'!A465),,CONCATENATE("/*  ",'RHS INPUT'!A465,"  */"))</f>
        <v/>
      </c>
      <c r="C465" s="22" t="str">
        <f>if(isblank(A465),,if('RHS INPUT'!D465=1,Concatenate("class ",'RHS INPUT'!C465),))</f>
        <v>class bipod_01_F_mtp</v>
      </c>
      <c r="D465" s="27" t="str">
        <f>if(ISBLANK(A465),,if('RHS INPUT'!D465=1,CONCATENATE("{quality = ",'RHS INPUT'!G465,"; price = ",Round('RHS INPUT'!M465),";};"),""))</f>
        <v>{quality = 1; price = 50;};</v>
      </c>
      <c r="E465" t="str">
        <f>IFERROR(__xludf.DUMMYFUNCTION("if(ISBLANK(A465),, if('RHS INPUT'!E465=1,CONCATENATE(CHAR(34),To_Text('RHS INPUT'!C465),CHAR(34),CHAR(44)),""""))"),"""bipod_01_F_mtp"",")</f>
        <v>"bipod_01_F_mtp",</v>
      </c>
      <c r="F465" s="28" t="str">
        <f>IF(isblank(A465) ,Concatenate("&gt; ",'RHS INPUT'!A465) , if('RHS INPUT'!F465=1,CONCATENATE(round('RHS INPUT'!N465),Char(44)," ",'RHS INPUT'!C465),""))</f>
        <v>67, bipod_01_F_mtp</v>
      </c>
    </row>
    <row r="466" ht="12.0" customHeight="1">
      <c r="A466" s="1" t="str">
        <f>IFERROR(__xludf.DUMMYFUNCTION("if(ISBLANK('RHS INPUT'!C466),,CONCATENATE(CHAR(34),To_Text('RHS INPUT'!C466),CHAR(34),CHAR(44)))"),"""bipod_01_F_snd"",")</f>
        <v>"bipod_01_F_snd",</v>
      </c>
      <c r="B466" s="18" t="str">
        <f>if(isblank('RHS INPUT'!A466),,CONCATENATE("/*  ",'RHS INPUT'!A466,"  */"))</f>
        <v/>
      </c>
      <c r="C466" s="22" t="str">
        <f>if(isblank(A466),,if('RHS INPUT'!D466=1,Concatenate("class ",'RHS INPUT'!C466),))</f>
        <v>class bipod_01_F_snd</v>
      </c>
      <c r="D466" s="27" t="str">
        <f>if(ISBLANK(A466),,if('RHS INPUT'!D466=1,CONCATENATE("{quality = ",'RHS INPUT'!G466,"; price = ",Round('RHS INPUT'!M466),";};"),""))</f>
        <v>{quality = 1; price = 50;};</v>
      </c>
      <c r="E466" t="str">
        <f>IFERROR(__xludf.DUMMYFUNCTION("if(ISBLANK(A466),, if('RHS INPUT'!E466=1,CONCATENATE(CHAR(34),To_Text('RHS INPUT'!C466),CHAR(34),CHAR(44)),""""))"),"""bipod_01_F_snd"",")</f>
        <v>"bipod_01_F_snd",</v>
      </c>
      <c r="F466" s="28" t="str">
        <f>IF(isblank(A466) ,Concatenate("&gt; ",'RHS INPUT'!A466) , if('RHS INPUT'!F466=1,CONCATENATE(round('RHS INPUT'!N466),Char(44)," ",'RHS INPUT'!C466),""))</f>
        <v>67, bipod_01_F_snd</v>
      </c>
    </row>
    <row r="467" ht="12.0" customHeight="1">
      <c r="A467" s="1" t="str">
        <f>IFERROR(__xludf.DUMMYFUNCTION("if(ISBLANK('RHS INPUT'!C467),,CONCATENATE(CHAR(34),To_Text('RHS INPUT'!C467),CHAR(34),CHAR(44)))"),"""bipod_02_F_blk"",")</f>
        <v>"bipod_02_F_blk",</v>
      </c>
      <c r="B467" s="18" t="str">
        <f>if(isblank('RHS INPUT'!A467),,CONCATENATE("/*  ",'RHS INPUT'!A467,"  */"))</f>
        <v/>
      </c>
      <c r="C467" s="22" t="str">
        <f>if(isblank(A467),,if('RHS INPUT'!D467=1,Concatenate("class ",'RHS INPUT'!C467),))</f>
        <v>class bipod_02_F_blk</v>
      </c>
      <c r="D467" s="27" t="str">
        <f>if(ISBLANK(A467),,if('RHS INPUT'!D467=1,CONCATENATE("{quality = ",'RHS INPUT'!G467,"; price = ",Round('RHS INPUT'!M467),";};"),""))</f>
        <v>{quality = 1; price = 50;};</v>
      </c>
      <c r="E467" t="str">
        <f>IFERROR(__xludf.DUMMYFUNCTION("if(ISBLANK(A467),, if('RHS INPUT'!E467=1,CONCATENATE(CHAR(34),To_Text('RHS INPUT'!C467),CHAR(34),CHAR(44)),""""))"),"""bipod_02_F_blk"",")</f>
        <v>"bipod_02_F_blk",</v>
      </c>
      <c r="F467" s="28" t="str">
        <f>IF(isblank(A467) ,Concatenate("&gt; ",'RHS INPUT'!A467) , if('RHS INPUT'!F467=1,CONCATENATE(round('RHS INPUT'!N467),Char(44)," ",'RHS INPUT'!C467),""))</f>
        <v>67, bipod_02_F_blk</v>
      </c>
    </row>
    <row r="468" ht="12.0" customHeight="1">
      <c r="A468" s="1" t="str">
        <f>IFERROR(__xludf.DUMMYFUNCTION("if(ISBLANK('RHS INPUT'!C468),,CONCATENATE(CHAR(34),To_Text('RHS INPUT'!C468),CHAR(34),CHAR(44)))"),"""bipod_02_F_hex"",")</f>
        <v>"bipod_02_F_hex",</v>
      </c>
      <c r="B468" s="18" t="str">
        <f>if(isblank('RHS INPUT'!A468),,CONCATENATE("/*  ",'RHS INPUT'!A468,"  */"))</f>
        <v/>
      </c>
      <c r="C468" s="22" t="str">
        <f>if(isblank(A468),,if('RHS INPUT'!D468=1,Concatenate("class ",'RHS INPUT'!C468),))</f>
        <v>class bipod_02_F_hex</v>
      </c>
      <c r="D468" s="27" t="str">
        <f>if(ISBLANK(A468),,if('RHS INPUT'!D468=1,CONCATENATE("{quality = ",'RHS INPUT'!G468,"; price = ",Round('RHS INPUT'!M468),";};"),""))</f>
        <v>{quality = 1; price = 50;};</v>
      </c>
      <c r="E468" t="str">
        <f>IFERROR(__xludf.DUMMYFUNCTION("if(ISBLANK(A468),, if('RHS INPUT'!E468=1,CONCATENATE(CHAR(34),To_Text('RHS INPUT'!C468),CHAR(34),CHAR(44)),""""))"),"""bipod_02_F_hex"",")</f>
        <v>"bipod_02_F_hex",</v>
      </c>
      <c r="F468" s="28" t="str">
        <f>IF(isblank(A468) ,Concatenate("&gt; ",'RHS INPUT'!A468) , if('RHS INPUT'!F468=1,CONCATENATE(round('RHS INPUT'!N468),Char(44)," ",'RHS INPUT'!C468),""))</f>
        <v>67, bipod_02_F_hex</v>
      </c>
    </row>
    <row r="469" ht="12.0" customHeight="1">
      <c r="A469" s="1" t="str">
        <f>IFERROR(__xludf.DUMMYFUNCTION("if(ISBLANK('RHS INPUT'!C469),,CONCATENATE(CHAR(34),To_Text('RHS INPUT'!C469),CHAR(34),CHAR(44)))"),"""bipod_02_F_tan"",")</f>
        <v>"bipod_02_F_tan",</v>
      </c>
      <c r="B469" s="18" t="str">
        <f>if(isblank('RHS INPUT'!A469),,CONCATENATE("/*  ",'RHS INPUT'!A469,"  */"))</f>
        <v/>
      </c>
      <c r="C469" s="22" t="str">
        <f>if(isblank(A469),,if('RHS INPUT'!D469=1,Concatenate("class ",'RHS INPUT'!C469),))</f>
        <v>class bipod_02_F_tan</v>
      </c>
      <c r="D469" s="27" t="str">
        <f>if(ISBLANK(A469),,if('RHS INPUT'!D469=1,CONCATENATE("{quality = ",'RHS INPUT'!G469,"; price = ",Round('RHS INPUT'!M469),";};"),""))</f>
        <v>{quality = 1; price = 50;};</v>
      </c>
      <c r="E469" t="str">
        <f>IFERROR(__xludf.DUMMYFUNCTION("if(ISBLANK(A469),, if('RHS INPUT'!E469=1,CONCATENATE(CHAR(34),To_Text('RHS INPUT'!C469),CHAR(34),CHAR(44)),""""))"),"""bipod_02_F_tan"",")</f>
        <v>"bipod_02_F_tan",</v>
      </c>
      <c r="F469" s="28" t="str">
        <f>IF(isblank(A469) ,Concatenate("&gt; ",'RHS INPUT'!A469) , if('RHS INPUT'!F469=1,CONCATENATE(round('RHS INPUT'!N469),Char(44)," ",'RHS INPUT'!C469),""))</f>
        <v>67, bipod_02_F_tan</v>
      </c>
    </row>
    <row r="470" ht="12.0" customHeight="1">
      <c r="A470" s="1" t="str">
        <f>IFERROR(__xludf.DUMMYFUNCTION("if(ISBLANK('RHS INPUT'!C470),,CONCATENATE(CHAR(34),To_Text('RHS INPUT'!C470),CHAR(34),CHAR(44)))"),"""bipod_03_F_blk"",")</f>
        <v>"bipod_03_F_blk",</v>
      </c>
      <c r="B470" s="18" t="str">
        <f>if(isblank('RHS INPUT'!A470),,CONCATENATE("/*  ",'RHS INPUT'!A470,"  */"))</f>
        <v/>
      </c>
      <c r="C470" s="22" t="str">
        <f>if(isblank(A470),,if('RHS INPUT'!D470=1,Concatenate("class ",'RHS INPUT'!C470),))</f>
        <v>class bipod_03_F_blk</v>
      </c>
      <c r="D470" s="27" t="str">
        <f>if(ISBLANK(A470),,if('RHS INPUT'!D470=1,CONCATENATE("{quality = ",'RHS INPUT'!G470,"; price = ",Round('RHS INPUT'!M470),";};"),""))</f>
        <v>{quality = 1; price = 50;};</v>
      </c>
      <c r="E470" t="str">
        <f>IFERROR(__xludf.DUMMYFUNCTION("if(ISBLANK(A470),, if('RHS INPUT'!E470=1,CONCATENATE(CHAR(34),To_Text('RHS INPUT'!C470),CHAR(34),CHAR(44)),""""))"),"""bipod_03_F_blk"",")</f>
        <v>"bipod_03_F_blk",</v>
      </c>
      <c r="F470" s="28" t="str">
        <f>IF(isblank(A470) ,Concatenate("&gt; ",'RHS INPUT'!A470) , if('RHS INPUT'!F470=1,CONCATENATE(round('RHS INPUT'!N470),Char(44)," ",'RHS INPUT'!C470),""))</f>
        <v>67, bipod_03_F_blk</v>
      </c>
    </row>
    <row r="471" ht="12.0" customHeight="1">
      <c r="A471" s="1" t="str">
        <f>IFERROR(__xludf.DUMMYFUNCTION("if(ISBLANK('RHS INPUT'!C471),,CONCATENATE(CHAR(34),To_Text('RHS INPUT'!C471),CHAR(34),CHAR(44)))"),"""bipod_03_F_oli"",")</f>
        <v>"bipod_03_F_oli",</v>
      </c>
      <c r="B471" s="18" t="str">
        <f>if(isblank('RHS INPUT'!A471),,CONCATENATE("/*  ",'RHS INPUT'!A471,"  */"))</f>
        <v/>
      </c>
      <c r="C471" s="22" t="str">
        <f>if(isblank(A471),,if('RHS INPUT'!D471=1,Concatenate("class ",'RHS INPUT'!C471),))</f>
        <v>class bipod_03_F_oli</v>
      </c>
      <c r="D471" s="27" t="str">
        <f>if(ISBLANK(A471),,if('RHS INPUT'!D471=1,CONCATENATE("{quality = ",'RHS INPUT'!G471,"; price = ",Round('RHS INPUT'!M471),";};"),""))</f>
        <v>{quality = 1; price = 50;};</v>
      </c>
      <c r="E471" t="str">
        <f>IFERROR(__xludf.DUMMYFUNCTION("if(ISBLANK(A471),, if('RHS INPUT'!E471=1,CONCATENATE(CHAR(34),To_Text('RHS INPUT'!C471),CHAR(34),CHAR(44)),""""))"),"""bipod_03_F_oli"",")</f>
        <v>"bipod_03_F_oli",</v>
      </c>
      <c r="F471" s="28" t="str">
        <f>IF(isblank(A471) ,Concatenate("&gt; ",'RHS INPUT'!A471) , if('RHS INPUT'!F471=1,CONCATENATE(round('RHS INPUT'!N471),Char(44)," ",'RHS INPUT'!C471),""))</f>
        <v>67, bipod_03_F_oli</v>
      </c>
    </row>
    <row r="472" ht="12.0" customHeight="1">
      <c r="A472" s="1" t="str">
        <f>IFERROR(__xludf.DUMMYFUNCTION("if(ISBLANK('RHS INPUT'!C472),,CONCATENATE(CHAR(34),To_Text('RHS INPUT'!C472),CHAR(34),CHAR(44)))"),"""rhsusf_acc_harris_bipod"",")</f>
        <v>"rhsusf_acc_harris_bipod",</v>
      </c>
      <c r="B472" s="18" t="str">
        <f>if(isblank('RHS INPUT'!A472),,CONCATENATE("/*  ",'RHS INPUT'!A472,"  */"))</f>
        <v/>
      </c>
      <c r="C472" s="22" t="str">
        <f>if(isblank(A472),,if('RHS INPUT'!D472=1,Concatenate("class ",'RHS INPUT'!C472),))</f>
        <v>class rhsusf_acc_harris_bipod</v>
      </c>
      <c r="D472" s="27" t="str">
        <f>if(ISBLANK(A472),,if('RHS INPUT'!D472=1,CONCATENATE("{quality = ",'RHS INPUT'!G472,"; price = ",Round('RHS INPUT'!M472),";};"),""))</f>
        <v>{quality = 1; price = 50;};</v>
      </c>
      <c r="E472" t="str">
        <f>IFERROR(__xludf.DUMMYFUNCTION("if(ISBLANK(A472),, if('RHS INPUT'!E472=1,CONCATENATE(CHAR(34),To_Text('RHS INPUT'!C472),CHAR(34),CHAR(44)),""""))"),"""rhsusf_acc_harris_bipod"",")</f>
        <v>"rhsusf_acc_harris_bipod",</v>
      </c>
      <c r="F472" s="28" t="str">
        <f>IF(isblank(A472) ,Concatenate("&gt; ",'RHS INPUT'!A472) , if('RHS INPUT'!F472=1,CONCATENATE(round('RHS INPUT'!N472),Char(44)," ",'RHS INPUT'!C472),""))</f>
        <v>67, rhsusf_acc_harris_bipod</v>
      </c>
    </row>
    <row r="473" ht="12.0" customHeight="1">
      <c r="A473" s="1" t="str">
        <f>IFERROR(__xludf.DUMMYFUNCTION("if(ISBLANK('RHS INPUT'!C473),,CONCATENATE(CHAR(34),To_Text('RHS INPUT'!C473),CHAR(34),CHAR(44)))"),"")</f>
        <v/>
      </c>
      <c r="B473" s="18" t="str">
        <f>if(isblank('RHS INPUT'!A473),,CONCATENATE("/*  ",'RHS INPUT'!A473,"  */"))</f>
        <v>/*  MUZZLE_ATTACHMENTS  */</v>
      </c>
      <c r="C473" s="22" t="str">
        <f>if(isblank(A473),,if('RHS INPUT'!D473=1,Concatenate("class ",'RHS INPUT'!C473),))</f>
        <v/>
      </c>
      <c r="D473" s="27" t="str">
        <f>if(ISBLANK(A473),,if('RHS INPUT'!D473=1,CONCATENATE("{quality = ",'RHS INPUT'!G473,"; price = ",Round('RHS INPUT'!M473),";};"),""))</f>
        <v/>
      </c>
      <c r="E473" t="str">
        <f>IFERROR(__xludf.DUMMYFUNCTION("if(ISBLANK(A473),, if('RHS INPUT'!E473=1,CONCATENATE(CHAR(34),To_Text('RHS INPUT'!C473),CHAR(34),CHAR(44)),""""))"),"")</f>
        <v/>
      </c>
      <c r="F473" s="28" t="str">
        <f>IF(isblank(A473) ,Concatenate("&gt; ",'RHS INPUT'!A473) , if('RHS INPUT'!F473=1,CONCATENATE(round('RHS INPUT'!N473),Char(44)," ",'RHS INPUT'!C473),""))</f>
        <v>&gt; MUZZLE_ATTACHMENTS</v>
      </c>
    </row>
    <row r="474" ht="12.0" customHeight="1">
      <c r="A474" s="1" t="str">
        <f>IFERROR(__xludf.DUMMYFUNCTION("if(ISBLANK('RHS INPUT'!C474),,CONCATENATE(CHAR(34),To_Text('RHS INPUT'!C474),CHAR(34),CHAR(44)))"),"""muzzle_snds_338_black"",")</f>
        <v>"muzzle_snds_338_black",</v>
      </c>
      <c r="B474" s="18" t="str">
        <f>if(isblank('RHS INPUT'!A474),,CONCATENATE("/*  ",'RHS INPUT'!A474,"  */"))</f>
        <v/>
      </c>
      <c r="C474" s="22" t="str">
        <f>if(isblank(A474),,if('RHS INPUT'!D474=1,Concatenate("class ",'RHS INPUT'!C474),))</f>
        <v>class muzzle_snds_338_black</v>
      </c>
      <c r="D474" s="27" t="str">
        <f>if(ISBLANK(A474),,if('RHS INPUT'!D474=1,CONCATENATE("{quality = ",'RHS INPUT'!G474,"; price = ",Round('RHS INPUT'!M474),";};"),""))</f>
        <v>{quality = 3; price = 300;};</v>
      </c>
      <c r="E474" t="str">
        <f>IFERROR(__xludf.DUMMYFUNCTION("if(ISBLANK(A474),, if('RHS INPUT'!E474=1,CONCATENATE(CHAR(34),To_Text('RHS INPUT'!C474),CHAR(34),CHAR(44)),""""))"),"""muzzle_snds_338_black"",")</f>
        <v>"muzzle_snds_338_black",</v>
      </c>
      <c r="F474" s="28" t="str">
        <f>IF(isblank(A474) ,Concatenate("&gt; ",'RHS INPUT'!A474) , if('RHS INPUT'!F474=1,CONCATENATE(round('RHS INPUT'!N474),Char(44)," ",'RHS INPUT'!C474),""))</f>
        <v>25, muzzle_snds_338_black</v>
      </c>
    </row>
    <row r="475" ht="12.0" customHeight="1">
      <c r="A475" s="1" t="str">
        <f>IFERROR(__xludf.DUMMYFUNCTION("if(ISBLANK('RHS INPUT'!C475),,CONCATENATE(CHAR(34),To_Text('RHS INPUT'!C475),CHAR(34),CHAR(44)))"),"""muzzle_snds_338_green"",")</f>
        <v>"muzzle_snds_338_green",</v>
      </c>
      <c r="B475" s="18" t="str">
        <f>if(isblank('RHS INPUT'!A475),,CONCATENATE("/*  ",'RHS INPUT'!A475,"  */"))</f>
        <v/>
      </c>
      <c r="C475" s="22" t="str">
        <f>if(isblank(A475),,if('RHS INPUT'!D475=1,Concatenate("class ",'RHS INPUT'!C475),))</f>
        <v>class muzzle_snds_338_green</v>
      </c>
      <c r="D475" s="27" t="str">
        <f>if(ISBLANK(A475),,if('RHS INPUT'!D475=1,CONCATENATE("{quality = ",'RHS INPUT'!G475,"; price = ",Round('RHS INPUT'!M475),";};"),""))</f>
        <v>{quality = 3; price = 300;};</v>
      </c>
      <c r="E475" t="str">
        <f>IFERROR(__xludf.DUMMYFUNCTION("if(ISBLANK(A475),, if('RHS INPUT'!E475=1,CONCATENATE(CHAR(34),To_Text('RHS INPUT'!C475),CHAR(34),CHAR(44)),""""))"),"""muzzle_snds_338_green"",")</f>
        <v>"muzzle_snds_338_green",</v>
      </c>
      <c r="F475" s="28" t="str">
        <f>IF(isblank(A475) ,Concatenate("&gt; ",'RHS INPUT'!A475) , if('RHS INPUT'!F475=1,CONCATENATE(round('RHS INPUT'!N475),Char(44)," ",'RHS INPUT'!C475),""))</f>
        <v>25, muzzle_snds_338_green</v>
      </c>
    </row>
    <row r="476" ht="12.0" customHeight="1">
      <c r="A476" s="1" t="str">
        <f>IFERROR(__xludf.DUMMYFUNCTION("if(ISBLANK('RHS INPUT'!C476),,CONCATENATE(CHAR(34),To_Text('RHS INPUT'!C476),CHAR(34),CHAR(44)))"),"""muzzle_snds_338_sand"",")</f>
        <v>"muzzle_snds_338_sand",</v>
      </c>
      <c r="B476" s="18" t="str">
        <f>if(isblank('RHS INPUT'!A476),,CONCATENATE("/*  ",'RHS INPUT'!A476,"  */"))</f>
        <v/>
      </c>
      <c r="C476" s="22" t="str">
        <f>if(isblank(A476),,if('RHS INPUT'!D476=1,Concatenate("class ",'RHS INPUT'!C476),))</f>
        <v>class muzzle_snds_338_sand</v>
      </c>
      <c r="D476" s="27" t="str">
        <f>if(ISBLANK(A476),,if('RHS INPUT'!D476=1,CONCATENATE("{quality = ",'RHS INPUT'!G476,"; price = ",Round('RHS INPUT'!M476),";};"),""))</f>
        <v>{quality = 3; price = 300;};</v>
      </c>
      <c r="E476" t="str">
        <f>IFERROR(__xludf.DUMMYFUNCTION("if(ISBLANK(A476),, if('RHS INPUT'!E476=1,CONCATENATE(CHAR(34),To_Text('RHS INPUT'!C476),CHAR(34),CHAR(44)),""""))"),"""muzzle_snds_338_sand"",")</f>
        <v>"muzzle_snds_338_sand",</v>
      </c>
      <c r="F476" s="28" t="str">
        <f>IF(isblank(A476) ,Concatenate("&gt; ",'RHS INPUT'!A476) , if('RHS INPUT'!F476=1,CONCATENATE(round('RHS INPUT'!N476),Char(44)," ",'RHS INPUT'!C476),""))</f>
        <v>25, muzzle_snds_338_sand</v>
      </c>
    </row>
    <row r="477" ht="12.0" customHeight="1">
      <c r="A477" s="1" t="str">
        <f>IFERROR(__xludf.DUMMYFUNCTION("if(ISBLANK('RHS INPUT'!C477),,CONCATENATE(CHAR(34),To_Text('RHS INPUT'!C477),CHAR(34),CHAR(44)))"),"""muzzle_snds_93mmg"",")</f>
        <v>"muzzle_snds_93mmg",</v>
      </c>
      <c r="B477" s="18" t="str">
        <f>if(isblank('RHS INPUT'!A477),,CONCATENATE("/*  ",'RHS INPUT'!A477,"  */"))</f>
        <v/>
      </c>
      <c r="C477" s="22" t="str">
        <f>if(isblank(A477),,if('RHS INPUT'!D477=1,Concatenate("class ",'RHS INPUT'!C477),))</f>
        <v>class muzzle_snds_93mmg</v>
      </c>
      <c r="D477" s="27" t="str">
        <f>if(ISBLANK(A477),,if('RHS INPUT'!D477=1,CONCATENATE("{quality = ",'RHS INPUT'!G477,"; price = ",Round('RHS INPUT'!M477),";};"),""))</f>
        <v>{quality = 3; price = 300;};</v>
      </c>
      <c r="E477" t="str">
        <f>IFERROR(__xludf.DUMMYFUNCTION("if(ISBLANK(A477),, if('RHS INPUT'!E477=1,CONCATENATE(CHAR(34),To_Text('RHS INPUT'!C477),CHAR(34),CHAR(44)),""""))"),"""muzzle_snds_93mmg"",")</f>
        <v>"muzzle_snds_93mmg",</v>
      </c>
      <c r="F477" s="28" t="str">
        <f>IF(isblank(A477) ,Concatenate("&gt; ",'RHS INPUT'!A477) , if('RHS INPUT'!F477=1,CONCATENATE(round('RHS INPUT'!N477),Char(44)," ",'RHS INPUT'!C477),""))</f>
        <v>25, muzzle_snds_93mmg</v>
      </c>
    </row>
    <row r="478" ht="12.0" customHeight="1">
      <c r="A478" s="1" t="str">
        <f>IFERROR(__xludf.DUMMYFUNCTION("if(ISBLANK('RHS INPUT'!C478),,CONCATENATE(CHAR(34),To_Text('RHS INPUT'!C478),CHAR(34),CHAR(44)))"),"""muzzle_snds_93mmg_tan"",")</f>
        <v>"muzzle_snds_93mmg_tan",</v>
      </c>
      <c r="B478" s="18" t="str">
        <f>if(isblank('RHS INPUT'!A478),,CONCATENATE("/*  ",'RHS INPUT'!A478,"  */"))</f>
        <v/>
      </c>
      <c r="C478" s="22" t="str">
        <f>if(isblank(A478),,if('RHS INPUT'!D478=1,Concatenate("class ",'RHS INPUT'!C478),))</f>
        <v>class muzzle_snds_93mmg_tan</v>
      </c>
      <c r="D478" s="27" t="str">
        <f>if(ISBLANK(A478),,if('RHS INPUT'!D478=1,CONCATENATE("{quality = ",'RHS INPUT'!G478,"; price = ",Round('RHS INPUT'!M478),";};"),""))</f>
        <v>{quality = 3; price = 300;};</v>
      </c>
      <c r="E478" t="str">
        <f>IFERROR(__xludf.DUMMYFUNCTION("if(ISBLANK(A478),, if('RHS INPUT'!E478=1,CONCATENATE(CHAR(34),To_Text('RHS INPUT'!C478),CHAR(34),CHAR(44)),""""))"),"""muzzle_snds_93mmg_tan"",")</f>
        <v>"muzzle_snds_93mmg_tan",</v>
      </c>
      <c r="F478" s="28" t="str">
        <f>IF(isblank(A478) ,Concatenate("&gt; ",'RHS INPUT'!A478) , if('RHS INPUT'!F478=1,CONCATENATE(round('RHS INPUT'!N478),Char(44)," ",'RHS INPUT'!C478),""))</f>
        <v>25, muzzle_snds_93mmg_tan</v>
      </c>
    </row>
    <row r="479" ht="12.0" customHeight="1">
      <c r="A479" s="1" t="str">
        <f>IFERROR(__xludf.DUMMYFUNCTION("if(ISBLANK('RHS INPUT'!C479),,CONCATENATE(CHAR(34),To_Text('RHS INPUT'!C479),CHAR(34),CHAR(44)))"),"""muzzle_snds_acp"",")</f>
        <v>"muzzle_snds_acp",</v>
      </c>
      <c r="B479" s="18" t="str">
        <f>if(isblank('RHS INPUT'!A479),,CONCATENATE("/*  ",'RHS INPUT'!A479,"  */"))</f>
        <v/>
      </c>
      <c r="C479" s="22" t="str">
        <f>if(isblank(A479),,if('RHS INPUT'!D479=1,Concatenate("class ",'RHS INPUT'!C479),))</f>
        <v>class muzzle_snds_acp</v>
      </c>
      <c r="D479" s="27" t="str">
        <f>if(ISBLANK(A479),,if('RHS INPUT'!D479=1,CONCATENATE("{quality = ",'RHS INPUT'!G479,"; price = ",Round('RHS INPUT'!M479),";};"),""))</f>
        <v>{quality = 1; price = 100;};</v>
      </c>
      <c r="E479" t="str">
        <f>IFERROR(__xludf.DUMMYFUNCTION("if(ISBLANK(A479),, if('RHS INPUT'!E479=1,CONCATENATE(CHAR(34),To_Text('RHS INPUT'!C479),CHAR(34),CHAR(44)),""""))"),"""muzzle_snds_acp"",")</f>
        <v>"muzzle_snds_acp",</v>
      </c>
      <c r="F479" s="28" t="str">
        <f>IF(isblank(A479) ,Concatenate("&gt; ",'RHS INPUT'!A479) , if('RHS INPUT'!F479=1,CONCATENATE(round('RHS INPUT'!N479),Char(44)," ",'RHS INPUT'!C479),""))</f>
        <v>50, muzzle_snds_acp</v>
      </c>
    </row>
    <row r="480" ht="12.0" customHeight="1">
      <c r="A480" s="1" t="str">
        <f>IFERROR(__xludf.DUMMYFUNCTION("if(ISBLANK('RHS INPUT'!C480),,CONCATENATE(CHAR(34),To_Text('RHS INPUT'!C480),CHAR(34),CHAR(44)))"),"""muzzle_snds_B"",")</f>
        <v>"muzzle_snds_B",</v>
      </c>
      <c r="B480" s="18" t="str">
        <f>if(isblank('RHS INPUT'!A480),,CONCATENATE("/*  ",'RHS INPUT'!A480,"  */"))</f>
        <v/>
      </c>
      <c r="C480" s="22" t="str">
        <f>if(isblank(A480),,if('RHS INPUT'!D480=1,Concatenate("class ",'RHS INPUT'!C480),))</f>
        <v>class muzzle_snds_B</v>
      </c>
      <c r="D480" s="27" t="str">
        <f>if(ISBLANK(A480),,if('RHS INPUT'!D480=1,CONCATENATE("{quality = ",'RHS INPUT'!G480,"; price = ",Round('RHS INPUT'!M480),";};"),""))</f>
        <v>{quality = 3; price = 300;};</v>
      </c>
      <c r="E480" t="str">
        <f>IFERROR(__xludf.DUMMYFUNCTION("if(ISBLANK(A480),, if('RHS INPUT'!E480=1,CONCATENATE(CHAR(34),To_Text('RHS INPUT'!C480),CHAR(34),CHAR(44)),""""))"),"""muzzle_snds_B"",")</f>
        <v>"muzzle_snds_B",</v>
      </c>
      <c r="F480" s="28" t="str">
        <f>IF(isblank(A480) ,Concatenate("&gt; ",'RHS INPUT'!A480) , if('RHS INPUT'!F480=1,CONCATENATE(round('RHS INPUT'!N480),Char(44)," ",'RHS INPUT'!C480),""))</f>
        <v>25, muzzle_snds_B</v>
      </c>
    </row>
    <row r="481" ht="12.0" customHeight="1">
      <c r="A481" s="1" t="str">
        <f>IFERROR(__xludf.DUMMYFUNCTION("if(ISBLANK('RHS INPUT'!C481),,CONCATENATE(CHAR(34),To_Text('RHS INPUT'!C481),CHAR(34),CHAR(44)))"),"""muzzle_snds_H"",")</f>
        <v>"muzzle_snds_H",</v>
      </c>
      <c r="B481" s="18" t="str">
        <f>if(isblank('RHS INPUT'!A481),,CONCATENATE("/*  ",'RHS INPUT'!A481,"  */"))</f>
        <v/>
      </c>
      <c r="C481" s="22" t="str">
        <f>if(isblank(A481),,if('RHS INPUT'!D481=1,Concatenate("class ",'RHS INPUT'!C481),))</f>
        <v>class muzzle_snds_H</v>
      </c>
      <c r="D481" s="27" t="str">
        <f>if(ISBLANK(A481),,if('RHS INPUT'!D481=1,CONCATENATE("{quality = ",'RHS INPUT'!G481,"; price = ",Round('RHS INPUT'!M481),";};"),""))</f>
        <v>{quality = 2; price = 200;};</v>
      </c>
      <c r="E481" t="str">
        <f>IFERROR(__xludf.DUMMYFUNCTION("if(ISBLANK(A481),, if('RHS INPUT'!E481=1,CONCATENATE(CHAR(34),To_Text('RHS INPUT'!C481),CHAR(34),CHAR(44)),""""))"),"""muzzle_snds_H"",")</f>
        <v>"muzzle_snds_H",</v>
      </c>
      <c r="F481" s="28" t="str">
        <f>IF(isblank(A481) ,Concatenate("&gt; ",'RHS INPUT'!A481) , if('RHS INPUT'!F481=1,CONCATENATE(round('RHS INPUT'!N481),Char(44)," ",'RHS INPUT'!C481),""))</f>
        <v>33, muzzle_snds_H</v>
      </c>
    </row>
    <row r="482" ht="12.0" customHeight="1">
      <c r="A482" s="1" t="str">
        <f>IFERROR(__xludf.DUMMYFUNCTION("if(ISBLANK('RHS INPUT'!C482),,CONCATENATE(CHAR(34),To_Text('RHS INPUT'!C482),CHAR(34),CHAR(44)))"),"""muzzle_snds_H_MG"",")</f>
        <v>"muzzle_snds_H_MG",</v>
      </c>
      <c r="B482" s="18" t="str">
        <f>if(isblank('RHS INPUT'!A482),,CONCATENATE("/*  ",'RHS INPUT'!A482,"  */"))</f>
        <v/>
      </c>
      <c r="C482" s="22" t="str">
        <f>if(isblank(A482),,if('RHS INPUT'!D482=1,Concatenate("class ",'RHS INPUT'!C482),))</f>
        <v>class muzzle_snds_H_MG</v>
      </c>
      <c r="D482" s="27" t="str">
        <f>if(ISBLANK(A482),,if('RHS INPUT'!D482=1,CONCATENATE("{quality = ",'RHS INPUT'!G482,"; price = ",Round('RHS INPUT'!M482),";};"),""))</f>
        <v>{quality = 3; price = 300;};</v>
      </c>
      <c r="E482" t="str">
        <f>IFERROR(__xludf.DUMMYFUNCTION("if(ISBLANK(A482),, if('RHS INPUT'!E482=1,CONCATENATE(CHAR(34),To_Text('RHS INPUT'!C482),CHAR(34),CHAR(44)),""""))"),"""muzzle_snds_H_MG"",")</f>
        <v>"muzzle_snds_H_MG",</v>
      </c>
      <c r="F482" s="28" t="str">
        <f>IF(isblank(A482) ,Concatenate("&gt; ",'RHS INPUT'!A482) , if('RHS INPUT'!F482=1,CONCATENATE(round('RHS INPUT'!N482),Char(44)," ",'RHS INPUT'!C482),""))</f>
        <v>25, muzzle_snds_H_MG</v>
      </c>
    </row>
    <row r="483" ht="12.0" customHeight="1">
      <c r="A483" s="1" t="str">
        <f>IFERROR(__xludf.DUMMYFUNCTION("if(ISBLANK('RHS INPUT'!C483),,CONCATENATE(CHAR(34),To_Text('RHS INPUT'!C483),CHAR(34),CHAR(44)))"),"""muzzle_snds_H_SW"",")</f>
        <v>"muzzle_snds_H_SW",</v>
      </c>
      <c r="B483" s="18" t="str">
        <f>if(isblank('RHS INPUT'!A483),,CONCATENATE("/*  ",'RHS INPUT'!A483,"  */"))</f>
        <v/>
      </c>
      <c r="C483" s="22" t="str">
        <f>if(isblank(A483),,if('RHS INPUT'!D483=1,Concatenate("class ",'RHS INPUT'!C483),))</f>
        <v>class muzzle_snds_H_SW</v>
      </c>
      <c r="D483" s="27" t="str">
        <f>if(ISBLANK(A483),,if('RHS INPUT'!D483=1,CONCATENATE("{quality = ",'RHS INPUT'!G483,"; price = ",Round('RHS INPUT'!M483),";};"),""))</f>
        <v>{quality = 3; price = 300;};</v>
      </c>
      <c r="E483" t="str">
        <f>IFERROR(__xludf.DUMMYFUNCTION("if(ISBLANK(A483),, if('RHS INPUT'!E483=1,CONCATENATE(CHAR(34),To_Text('RHS INPUT'!C483),CHAR(34),CHAR(44)),""""))"),"""muzzle_snds_H_SW"",")</f>
        <v>"muzzle_snds_H_SW",</v>
      </c>
      <c r="F483" s="28" t="str">
        <f>IF(isblank(A483) ,Concatenate("&gt; ",'RHS INPUT'!A483) , if('RHS INPUT'!F483=1,CONCATENATE(round('RHS INPUT'!N483),Char(44)," ",'RHS INPUT'!C483),""))</f>
        <v>25, muzzle_snds_H_SW</v>
      </c>
    </row>
    <row r="484" ht="12.0" customHeight="1">
      <c r="A484" s="1" t="str">
        <f>IFERROR(__xludf.DUMMYFUNCTION("if(ISBLANK('RHS INPUT'!C484),,CONCATENATE(CHAR(34),To_Text('RHS INPUT'!C484),CHAR(34),CHAR(44)))"),"""muzzle_snds_L"",")</f>
        <v>"muzzle_snds_L",</v>
      </c>
      <c r="B484" s="18" t="str">
        <f>if(isblank('RHS INPUT'!A484),,CONCATENATE("/*  ",'RHS INPUT'!A484,"  */"))</f>
        <v/>
      </c>
      <c r="C484" s="22" t="str">
        <f>if(isblank(A484),,if('RHS INPUT'!D484=1,Concatenate("class ",'RHS INPUT'!C484),))</f>
        <v>class muzzle_snds_L</v>
      </c>
      <c r="D484" s="27" t="str">
        <f>if(ISBLANK(A484),,if('RHS INPUT'!D484=1,CONCATENATE("{quality = ",'RHS INPUT'!G484,"; price = ",Round('RHS INPUT'!M484),";};"),""))</f>
        <v>{quality = 1; price = 100;};</v>
      </c>
      <c r="E484" t="str">
        <f>IFERROR(__xludf.DUMMYFUNCTION("if(ISBLANK(A484),, if('RHS INPUT'!E484=1,CONCATENATE(CHAR(34),To_Text('RHS INPUT'!C484),CHAR(34),CHAR(44)),""""))"),"""muzzle_snds_L"",")</f>
        <v>"muzzle_snds_L",</v>
      </c>
      <c r="F484" s="28" t="str">
        <f>IF(isblank(A484) ,Concatenate("&gt; ",'RHS INPUT'!A484) , if('RHS INPUT'!F484=1,CONCATENATE(round('RHS INPUT'!N484),Char(44)," ",'RHS INPUT'!C484),""))</f>
        <v>50, muzzle_snds_L</v>
      </c>
    </row>
    <row r="485" ht="12.0" customHeight="1">
      <c r="A485" s="1" t="str">
        <f>IFERROR(__xludf.DUMMYFUNCTION("if(ISBLANK('RHS INPUT'!C485),,CONCATENATE(CHAR(34),To_Text('RHS INPUT'!C485),CHAR(34),CHAR(44)))"),"""muzzle_snds_M"",")</f>
        <v>"muzzle_snds_M",</v>
      </c>
      <c r="B485" s="18" t="str">
        <f>if(isblank('RHS INPUT'!A485),,CONCATENATE("/*  ",'RHS INPUT'!A485,"  */"))</f>
        <v/>
      </c>
      <c r="C485" s="22" t="str">
        <f>if(isblank(A485),,if('RHS INPUT'!D485=1,Concatenate("class ",'RHS INPUT'!C485),))</f>
        <v>class muzzle_snds_M</v>
      </c>
      <c r="D485" s="27" t="str">
        <f>if(ISBLANK(A485),,if('RHS INPUT'!D485=1,CONCATENATE("{quality = ",'RHS INPUT'!G485,"; price = ",Round('RHS INPUT'!M485),";};"),""))</f>
        <v>{quality = 2; price = 200;};</v>
      </c>
      <c r="E485" t="str">
        <f>IFERROR(__xludf.DUMMYFUNCTION("if(ISBLANK(A485),, if('RHS INPUT'!E485=1,CONCATENATE(CHAR(34),To_Text('RHS INPUT'!C485),CHAR(34),CHAR(44)),""""))"),"""muzzle_snds_M"",")</f>
        <v>"muzzle_snds_M",</v>
      </c>
      <c r="F485" s="28" t="str">
        <f>IF(isblank(A485) ,Concatenate("&gt; ",'RHS INPUT'!A485) , if('RHS INPUT'!F485=1,CONCATENATE(round('RHS INPUT'!N485),Char(44)," ",'RHS INPUT'!C485),""))</f>
        <v>33, muzzle_snds_M</v>
      </c>
    </row>
    <row r="486" ht="12.0" customHeight="1">
      <c r="A486" s="1" t="str">
        <f>IFERROR(__xludf.DUMMYFUNCTION("if(ISBLANK('RHS INPUT'!C486),,CONCATENATE(CHAR(34),To_Text('RHS INPUT'!C486),CHAR(34),CHAR(44)))"),"""rhs_acc_tpga"",")</f>
        <v>"rhs_acc_tpga",</v>
      </c>
      <c r="B486" s="18" t="str">
        <f>if(isblank('RHS INPUT'!A486),,CONCATENATE("/*  ",'RHS INPUT'!A486,"  */"))</f>
        <v>/*  Broken  */</v>
      </c>
      <c r="C486" s="22" t="str">
        <f>if(isblank(A486),,if('RHS INPUT'!D486=1,Concatenate("class ",'RHS INPUT'!C486),))</f>
        <v>class rhs_acc_tpga</v>
      </c>
      <c r="D486" s="27" t="str">
        <f>if(ISBLANK(A486),,if('RHS INPUT'!D486=1,CONCATENATE("{quality = ",'RHS INPUT'!G486,"; price = ",Round('RHS INPUT'!M486),";};"),""))</f>
        <v>{quality = 3; price = 300;};</v>
      </c>
      <c r="E486" t="str">
        <f>IFERROR(__xludf.DUMMYFUNCTION("if(ISBLANK(A486),, if('RHS INPUT'!E486=1,CONCATENATE(CHAR(34),To_Text('RHS INPUT'!C486),CHAR(34),CHAR(44)),""""))"),"")</f>
        <v/>
      </c>
      <c r="F486" s="28" t="str">
        <f>IF(isblank(A486) ,Concatenate("&gt; ",'RHS INPUT'!A486) , if('RHS INPUT'!F486=1,CONCATENATE(round('RHS INPUT'!N486),Char(44)," ",'RHS INPUT'!C486),""))</f>
        <v>25, rhs_acc_tpga</v>
      </c>
    </row>
    <row r="487" ht="12.0" customHeight="1">
      <c r="A487" s="1" t="str">
        <f>IFERROR(__xludf.DUMMYFUNCTION("if(ISBLANK('RHS INPUT'!C487),,CONCATENATE(CHAR(34),To_Text('RHS INPUT'!C487),CHAR(34),CHAR(44)))"),"""rhs_acc_pbs1"",")</f>
        <v>"rhs_acc_pbs1",</v>
      </c>
      <c r="B487" s="18" t="str">
        <f>if(isblank('RHS INPUT'!A487),,CONCATENATE("/*  ",'RHS INPUT'!A487,"  */"))</f>
        <v/>
      </c>
      <c r="C487" s="22" t="str">
        <f>if(isblank(A487),,if('RHS INPUT'!D487=1,Concatenate("class ",'RHS INPUT'!C487),))</f>
        <v>class rhs_acc_pbs1</v>
      </c>
      <c r="D487" s="27" t="str">
        <f>if(ISBLANK(A487),,if('RHS INPUT'!D487=1,CONCATENATE("{quality = ",'RHS INPUT'!G487,"; price = ",Round('RHS INPUT'!M487),";};"),""))</f>
        <v>{quality = 3; price = 300;};</v>
      </c>
      <c r="E487" t="str">
        <f>IFERROR(__xludf.DUMMYFUNCTION("if(ISBLANK(A487),, if('RHS INPUT'!E487=1,CONCATENATE(CHAR(34),To_Text('RHS INPUT'!C487),CHAR(34),CHAR(44)),""""))"),"""rhs_acc_pbs1"",")</f>
        <v>"rhs_acc_pbs1",</v>
      </c>
      <c r="F487" s="28" t="str">
        <f>IF(isblank(A487) ,Concatenate("&gt; ",'RHS INPUT'!A487) , if('RHS INPUT'!F487=1,CONCATENATE(round('RHS INPUT'!N487),Char(44)," ",'RHS INPUT'!C487),""))</f>
        <v>25, rhs_acc_pbs1</v>
      </c>
    </row>
    <row r="488" ht="12.0" customHeight="1">
      <c r="A488" s="1" t="str">
        <f>IFERROR(__xludf.DUMMYFUNCTION("if(ISBLANK('RHS INPUT'!C488),,CONCATENATE(CHAR(34),To_Text('RHS INPUT'!C488),CHAR(34),CHAR(44)))"),"""rhs_acc_tgpv"",")</f>
        <v>"rhs_acc_tgpv",</v>
      </c>
      <c r="B488" s="18" t="str">
        <f>if(isblank('RHS INPUT'!A488),,CONCATENATE("/*  ",'RHS INPUT'!A488,"  */"))</f>
        <v/>
      </c>
      <c r="C488" s="22" t="str">
        <f>if(isblank(A488),,if('RHS INPUT'!D488=1,Concatenate("class ",'RHS INPUT'!C488),))</f>
        <v>class rhs_acc_tgpv</v>
      </c>
      <c r="D488" s="27" t="str">
        <f>if(ISBLANK(A488),,if('RHS INPUT'!D488=1,CONCATENATE("{quality = ",'RHS INPUT'!G488,"; price = ",Round('RHS INPUT'!M488),";};"),""))</f>
        <v>{quality = 3; price = 300;};</v>
      </c>
      <c r="E488" t="str">
        <f>IFERROR(__xludf.DUMMYFUNCTION("if(ISBLANK(A488),, if('RHS INPUT'!E488=1,CONCATENATE(CHAR(34),To_Text('RHS INPUT'!C488),CHAR(34),CHAR(44)),""""))"),"""rhs_acc_tgpv"",")</f>
        <v>"rhs_acc_tgpv",</v>
      </c>
      <c r="F488" s="28" t="str">
        <f>IF(isblank(A488) ,Concatenate("&gt; ",'RHS INPUT'!A488) , if('RHS INPUT'!F488=1,CONCATENATE(round('RHS INPUT'!N488),Char(44)," ",'RHS INPUT'!C488),""))</f>
        <v>25, rhs_acc_tgpv</v>
      </c>
    </row>
    <row r="489" ht="12.0" customHeight="1">
      <c r="A489" s="1" t="str">
        <f>IFERROR(__xludf.DUMMYFUNCTION("if(ISBLANK('RHS INPUT'!C489),,CONCATENATE(CHAR(34),To_Text('RHS INPUT'!C489),CHAR(34),CHAR(44)))"),"""rhs_acc_dtk"",")</f>
        <v>"rhs_acc_dtk",</v>
      </c>
      <c r="B489" s="18" t="str">
        <f>if(isblank('RHS INPUT'!A489),,CONCATENATE("/*  ",'RHS INPUT'!A489,"  */"))</f>
        <v/>
      </c>
      <c r="C489" s="22" t="str">
        <f>if(isblank(A489),,if('RHS INPUT'!D489=1,Concatenate("class ",'RHS INPUT'!C489),))</f>
        <v>class rhs_acc_dtk</v>
      </c>
      <c r="D489" s="27" t="str">
        <f>if(ISBLANK(A489),,if('RHS INPUT'!D489=1,CONCATENATE("{quality = ",'RHS INPUT'!G489,"; price = ",Round('RHS INPUT'!M489),";};"),""))</f>
        <v>{quality = 1; price = 100;};</v>
      </c>
      <c r="E489" t="str">
        <f>IFERROR(__xludf.DUMMYFUNCTION("if(ISBLANK(A489),, if('RHS INPUT'!E489=1,CONCATENATE(CHAR(34),To_Text('RHS INPUT'!C489),CHAR(34),CHAR(44)),""""))"),"""rhs_acc_dtk"",")</f>
        <v>"rhs_acc_dtk",</v>
      </c>
      <c r="F489" s="28" t="str">
        <f>IF(isblank(A489) ,Concatenate("&gt; ",'RHS INPUT'!A489) , if('RHS INPUT'!F489=1,CONCATENATE(round('RHS INPUT'!N489),Char(44)," ",'RHS INPUT'!C489),""))</f>
        <v>50, rhs_acc_dtk</v>
      </c>
    </row>
    <row r="490" ht="12.0" customHeight="1">
      <c r="A490" s="1" t="str">
        <f>IFERROR(__xludf.DUMMYFUNCTION("if(ISBLANK('RHS INPUT'!C490),,CONCATENATE(CHAR(34),To_Text('RHS INPUT'!C490),CHAR(34),CHAR(44)))"),"""rhs_acc_dtk1"",")</f>
        <v>"rhs_acc_dtk1",</v>
      </c>
      <c r="B490" s="18" t="str">
        <f>if(isblank('RHS INPUT'!A490),,CONCATENATE("/*  ",'RHS INPUT'!A490,"  */"))</f>
        <v/>
      </c>
      <c r="C490" s="22" t="str">
        <f>if(isblank(A490),,if('RHS INPUT'!D490=1,Concatenate("class ",'RHS INPUT'!C490),))</f>
        <v>class rhs_acc_dtk1</v>
      </c>
      <c r="D490" s="27" t="str">
        <f>if(ISBLANK(A490),,if('RHS INPUT'!D490=1,CONCATENATE("{quality = ",'RHS INPUT'!G490,"; price = ",Round('RHS INPUT'!M490),";};"),""))</f>
        <v>{quality = 1; price = 100;};</v>
      </c>
      <c r="E490" t="str">
        <f>IFERROR(__xludf.DUMMYFUNCTION("if(ISBLANK(A490),, if('RHS INPUT'!E490=1,CONCATENATE(CHAR(34),To_Text('RHS INPUT'!C490),CHAR(34),CHAR(44)),""""))"),"""rhs_acc_dtk1"",")</f>
        <v>"rhs_acc_dtk1",</v>
      </c>
      <c r="F490" s="28" t="str">
        <f>IF(isblank(A490) ,Concatenate("&gt; ",'RHS INPUT'!A490) , if('RHS INPUT'!F490=1,CONCATENATE(round('RHS INPUT'!N490),Char(44)," ",'RHS INPUT'!C490),""))</f>
        <v>50, rhs_acc_dtk1</v>
      </c>
    </row>
    <row r="491" ht="12.0" customHeight="1">
      <c r="A491" s="1" t="str">
        <f>IFERROR(__xludf.DUMMYFUNCTION("if(ISBLANK('RHS INPUT'!C491),,CONCATENATE(CHAR(34),To_Text('RHS INPUT'!C491),CHAR(34),CHAR(44)))"),"""rhs_acc_dtk1l"",")</f>
        <v>"rhs_acc_dtk1l",</v>
      </c>
      <c r="B491" s="18" t="str">
        <f>if(isblank('RHS INPUT'!A491),,CONCATENATE("/*  ",'RHS INPUT'!A491,"  */"))</f>
        <v/>
      </c>
      <c r="C491" s="22" t="str">
        <f>if(isblank(A491),,if('RHS INPUT'!D491=1,Concatenate("class ",'RHS INPUT'!C491),))</f>
        <v>class rhs_acc_dtk1l</v>
      </c>
      <c r="D491" s="27" t="str">
        <f>if(ISBLANK(A491),,if('RHS INPUT'!D491=1,CONCATENATE("{quality = ",'RHS INPUT'!G491,"; price = ",Round('RHS INPUT'!M491),";};"),""))</f>
        <v>{quality = 1; price = 100;};</v>
      </c>
      <c r="E491" t="str">
        <f>IFERROR(__xludf.DUMMYFUNCTION("if(ISBLANK(A491),, if('RHS INPUT'!E491=1,CONCATENATE(CHAR(34),To_Text('RHS INPUT'!C491),CHAR(34),CHAR(44)),""""))"),"""rhs_acc_dtk1l"",")</f>
        <v>"rhs_acc_dtk1l",</v>
      </c>
      <c r="F491" s="28" t="str">
        <f>IF(isblank(A491) ,Concatenate("&gt; ",'RHS INPUT'!A491) , if('RHS INPUT'!F491=1,CONCATENATE(round('RHS INPUT'!N491),Char(44)," ",'RHS INPUT'!C491),""))</f>
        <v>50, rhs_acc_dtk1l</v>
      </c>
    </row>
    <row r="492" ht="12.0" customHeight="1">
      <c r="A492" s="1" t="str">
        <f>IFERROR(__xludf.DUMMYFUNCTION("if(ISBLANK('RHS INPUT'!C492),,CONCATENATE(CHAR(34),To_Text('RHS INPUT'!C492),CHAR(34),CHAR(44)))"),"""rhs_acc_dtk3"",")</f>
        <v>"rhs_acc_dtk3",</v>
      </c>
      <c r="B492" s="18" t="str">
        <f>if(isblank('RHS INPUT'!A492),,CONCATENATE("/*  ",'RHS INPUT'!A492,"  */"))</f>
        <v/>
      </c>
      <c r="C492" s="22" t="str">
        <f>if(isblank(A492),,if('RHS INPUT'!D492=1,Concatenate("class ",'RHS INPUT'!C492),))</f>
        <v>class rhs_acc_dtk3</v>
      </c>
      <c r="D492" s="27" t="str">
        <f>if(ISBLANK(A492),,if('RHS INPUT'!D492=1,CONCATENATE("{quality = ",'RHS INPUT'!G492,"; price = ",Round('RHS INPUT'!M492),";};"),""))</f>
        <v>{quality = 1; price = 100;};</v>
      </c>
      <c r="E492" t="str">
        <f>IFERROR(__xludf.DUMMYFUNCTION("if(ISBLANK(A492),, if('RHS INPUT'!E492=1,CONCATENATE(CHAR(34),To_Text('RHS INPUT'!C492),CHAR(34),CHAR(44)),""""))"),"""rhs_acc_dtk3"",")</f>
        <v>"rhs_acc_dtk3",</v>
      </c>
      <c r="F492" s="28" t="str">
        <f>IF(isblank(A492) ,Concatenate("&gt; ",'RHS INPUT'!A492) , if('RHS INPUT'!F492=1,CONCATENATE(round('RHS INPUT'!N492),Char(44)," ",'RHS INPUT'!C492),""))</f>
        <v>50, rhs_acc_dtk3</v>
      </c>
    </row>
    <row r="493" ht="12.0" customHeight="1">
      <c r="A493" s="1" t="str">
        <f>IFERROR(__xludf.DUMMYFUNCTION("if(ISBLANK('RHS INPUT'!C493),,CONCATENATE(CHAR(34),To_Text('RHS INPUT'!C493),CHAR(34),CHAR(44)))"),"""rhs_acc_dtk4short"",")</f>
        <v>"rhs_acc_dtk4short",</v>
      </c>
      <c r="B493" s="18" t="str">
        <f>if(isblank('RHS INPUT'!A493),,CONCATENATE("/*  ",'RHS INPUT'!A493,"  */"))</f>
        <v/>
      </c>
      <c r="C493" s="22" t="str">
        <f>if(isblank(A493),,if('RHS INPUT'!D493=1,Concatenate("class ",'RHS INPUT'!C493),))</f>
        <v>class rhs_acc_dtk4short</v>
      </c>
      <c r="D493" s="27" t="str">
        <f>if(ISBLANK(A493),,if('RHS INPUT'!D493=1,CONCATENATE("{quality = ",'RHS INPUT'!G493,"; price = ",Round('RHS INPUT'!M493),";};"),""))</f>
        <v>{quality = 3; price = 300;};</v>
      </c>
      <c r="E493" t="str">
        <f>IFERROR(__xludf.DUMMYFUNCTION("if(ISBLANK(A493),, if('RHS INPUT'!E493=1,CONCATENATE(CHAR(34),To_Text('RHS INPUT'!C493),CHAR(34),CHAR(44)),""""))"),"""rhs_acc_dtk4short"",")</f>
        <v>"rhs_acc_dtk4short",</v>
      </c>
      <c r="F493" s="28" t="str">
        <f>IF(isblank(A493) ,Concatenate("&gt; ",'RHS INPUT'!A493) , if('RHS INPUT'!F493=1,CONCATENATE(round('RHS INPUT'!N493),Char(44)," ",'RHS INPUT'!C493),""))</f>
        <v>25, rhs_acc_dtk4short</v>
      </c>
    </row>
    <row r="494" ht="12.0" customHeight="1">
      <c r="A494" s="1" t="str">
        <f>IFERROR(__xludf.DUMMYFUNCTION("if(ISBLANK('RHS INPUT'!C494),,CONCATENATE(CHAR(34),To_Text('RHS INPUT'!C494),CHAR(34),CHAR(44)))"),"""rhs_acc_dtk4long"",")</f>
        <v>"rhs_acc_dtk4long",</v>
      </c>
      <c r="B494" s="18" t="str">
        <f>if(isblank('RHS INPUT'!A494),,CONCATENATE("/*  ",'RHS INPUT'!A494,"  */"))</f>
        <v/>
      </c>
      <c r="C494" s="22" t="str">
        <f>if(isblank(A494),,if('RHS INPUT'!D494=1,Concatenate("class ",'RHS INPUT'!C494),))</f>
        <v>class rhs_acc_dtk4long</v>
      </c>
      <c r="D494" s="27" t="str">
        <f>if(ISBLANK(A494),,if('RHS INPUT'!D494=1,CONCATENATE("{quality = ",'RHS INPUT'!G494,"; price = ",Round('RHS INPUT'!M494),";};"),""))</f>
        <v>{quality = 3; price = 300;};</v>
      </c>
      <c r="E494" t="str">
        <f>IFERROR(__xludf.DUMMYFUNCTION("if(ISBLANK(A494),, if('RHS INPUT'!E494=1,CONCATENATE(CHAR(34),To_Text('RHS INPUT'!C494),CHAR(34),CHAR(44)),""""))"),"""rhs_acc_dtk4long"",")</f>
        <v>"rhs_acc_dtk4long",</v>
      </c>
      <c r="F494" s="28" t="str">
        <f>IF(isblank(A494) ,Concatenate("&gt; ",'RHS INPUT'!A494) , if('RHS INPUT'!F494=1,CONCATENATE(round('RHS INPUT'!N494),Char(44)," ",'RHS INPUT'!C494),""))</f>
        <v>25, rhs_acc_dtk4long</v>
      </c>
    </row>
    <row r="495" ht="12.0" customHeight="1">
      <c r="A495" s="1" t="str">
        <f>IFERROR(__xludf.DUMMYFUNCTION("if(ISBLANK('RHS INPUT'!C495),,CONCATENATE(CHAR(34),To_Text('RHS INPUT'!C495),CHAR(34),CHAR(44)))"),"""rhs_acc_dtk4screws"",")</f>
        <v>"rhs_acc_dtk4screws",</v>
      </c>
      <c r="B495" s="18" t="str">
        <f>if(isblank('RHS INPUT'!A495),,CONCATENATE("/*  ",'RHS INPUT'!A495,"  */"))</f>
        <v/>
      </c>
      <c r="C495" s="22" t="str">
        <f>if(isblank(A495),,if('RHS INPUT'!D495=1,Concatenate("class ",'RHS INPUT'!C495),))</f>
        <v>class rhs_acc_dtk4screws</v>
      </c>
      <c r="D495" s="27" t="str">
        <f>if(ISBLANK(A495),,if('RHS INPUT'!D495=1,CONCATENATE("{quality = ",'RHS INPUT'!G495,"; price = ",Round('RHS INPUT'!M495),";};"),""))</f>
        <v>{quality = 3; price = 300;};</v>
      </c>
      <c r="E495" t="str">
        <f>IFERROR(__xludf.DUMMYFUNCTION("if(ISBLANK(A495),, if('RHS INPUT'!E495=1,CONCATENATE(CHAR(34),To_Text('RHS INPUT'!C495),CHAR(34),CHAR(44)),""""))"),"""rhs_acc_dtk4screws"",")</f>
        <v>"rhs_acc_dtk4screws",</v>
      </c>
      <c r="F495" s="28" t="str">
        <f>IF(isblank(A495) ,Concatenate("&gt; ",'RHS INPUT'!A495) , if('RHS INPUT'!F495=1,CONCATENATE(round('RHS INPUT'!N495),Char(44)," ",'RHS INPUT'!C495),""))</f>
        <v>25, rhs_acc_dtk4screws</v>
      </c>
    </row>
    <row r="496" ht="12.0" customHeight="1">
      <c r="A496" s="1" t="str">
        <f>IFERROR(__xludf.DUMMYFUNCTION("if(ISBLANK('RHS INPUT'!C496),,CONCATENATE(CHAR(34),To_Text('RHS INPUT'!C496),CHAR(34),CHAR(44)))"),"""rhs_acc_ak5"",")</f>
        <v>"rhs_acc_ak5",</v>
      </c>
      <c r="B496" s="18" t="str">
        <f>if(isblank('RHS INPUT'!A496),,CONCATENATE("/*  ",'RHS INPUT'!A496,"  */"))</f>
        <v/>
      </c>
      <c r="C496" s="22" t="str">
        <f>if(isblank(A496),,if('RHS INPUT'!D496=1,Concatenate("class ",'RHS INPUT'!C496),))</f>
        <v>class rhs_acc_ak5</v>
      </c>
      <c r="D496" s="27" t="str">
        <f>if(ISBLANK(A496),,if('RHS INPUT'!D496=1,CONCATENATE("{quality = ",'RHS INPUT'!G496,"; price = ",Round('RHS INPUT'!M496),";};"),""))</f>
        <v>{quality = 2; price = 200;};</v>
      </c>
      <c r="E496" t="str">
        <f>IFERROR(__xludf.DUMMYFUNCTION("if(ISBLANK(A496),, if('RHS INPUT'!E496=1,CONCATENATE(CHAR(34),To_Text('RHS INPUT'!C496),CHAR(34),CHAR(44)),""""))"),"""rhs_acc_ak5"",")</f>
        <v>"rhs_acc_ak5",</v>
      </c>
      <c r="F496" s="28" t="str">
        <f>IF(isblank(A496) ,Concatenate("&gt; ",'RHS INPUT'!A496) , if('RHS INPUT'!F496=1,CONCATENATE(round('RHS INPUT'!N496),Char(44)," ",'RHS INPUT'!C496),""))</f>
        <v>33, rhs_acc_ak5</v>
      </c>
    </row>
    <row r="497" ht="12.0" customHeight="1">
      <c r="A497" s="1" t="str">
        <f>IFERROR(__xludf.DUMMYFUNCTION("if(ISBLANK('RHS INPUT'!C497),,CONCATENATE(CHAR(34),To_Text('RHS INPUT'!C497),CHAR(34),CHAR(44)))"),"""rhsusf_acc_M2010S"",")</f>
        <v>"rhsusf_acc_M2010S",</v>
      </c>
      <c r="B497" s="18" t="str">
        <f>if(isblank('RHS INPUT'!A497),,CONCATENATE("/*  ",'RHS INPUT'!A497,"  */"))</f>
        <v/>
      </c>
      <c r="C497" s="22" t="str">
        <f>if(isblank(A497),,if('RHS INPUT'!D497=1,Concatenate("class ",'RHS INPUT'!C497),))</f>
        <v>class rhsusf_acc_M2010S</v>
      </c>
      <c r="D497" s="27" t="str">
        <f>if(ISBLANK(A497),,if('RHS INPUT'!D497=1,CONCATENATE("{quality = ",'RHS INPUT'!G497,"; price = ",Round('RHS INPUT'!M497),";};"),""))</f>
        <v>{quality = 3; price = 300;};</v>
      </c>
      <c r="E497" t="str">
        <f>IFERROR(__xludf.DUMMYFUNCTION("if(ISBLANK(A497),, if('RHS INPUT'!E497=1,CONCATENATE(CHAR(34),To_Text('RHS INPUT'!C497),CHAR(34),CHAR(44)),""""))"),"""rhsusf_acc_M2010S"",")</f>
        <v>"rhsusf_acc_M2010S",</v>
      </c>
      <c r="F497" s="28" t="str">
        <f>IF(isblank(A497) ,Concatenate("&gt; ",'RHS INPUT'!A497) , if('RHS INPUT'!F497=1,CONCATENATE(round('RHS INPUT'!N497),Char(44)," ",'RHS INPUT'!C497),""))</f>
        <v>25, rhsusf_acc_M2010S</v>
      </c>
    </row>
    <row r="498" ht="12.0" customHeight="1">
      <c r="A498" s="1" t="str">
        <f>IFERROR(__xludf.DUMMYFUNCTION("if(ISBLANK('RHS INPUT'!C498),,CONCATENATE(CHAR(34),To_Text('RHS INPUT'!C498),CHAR(34),CHAR(44)))"),"""rhsusf_acc_SR25S"",")</f>
        <v>"rhsusf_acc_SR25S",</v>
      </c>
      <c r="B498" s="18" t="str">
        <f>if(isblank('RHS INPUT'!A498),,CONCATENATE("/*  ",'RHS INPUT'!A498,"  */"))</f>
        <v/>
      </c>
      <c r="C498" s="22" t="str">
        <f>if(isblank(A498),,if('RHS INPUT'!D498=1,Concatenate("class ",'RHS INPUT'!C498),))</f>
        <v>class rhsusf_acc_SR25S</v>
      </c>
      <c r="D498" s="27" t="str">
        <f>if(ISBLANK(A498),,if('RHS INPUT'!D498=1,CONCATENATE("{quality = ",'RHS INPUT'!G498,"; price = ",Round('RHS INPUT'!M498),";};"),""))</f>
        <v>{quality = 3; price = 300;};</v>
      </c>
      <c r="E498" t="str">
        <f>IFERROR(__xludf.DUMMYFUNCTION("if(ISBLANK(A498),, if('RHS INPUT'!E498=1,CONCATENATE(CHAR(34),To_Text('RHS INPUT'!C498),CHAR(34),CHAR(44)),""""))"),"""rhsusf_acc_SR25S"",")</f>
        <v>"rhsusf_acc_SR25S",</v>
      </c>
      <c r="F498" s="28" t="str">
        <f>IF(isblank(A498) ,Concatenate("&gt; ",'RHS INPUT'!A498) , if('RHS INPUT'!F498=1,CONCATENATE(round('RHS INPUT'!N498),Char(44)," ",'RHS INPUT'!C498),""))</f>
        <v>25, rhsusf_acc_SR25S</v>
      </c>
    </row>
    <row r="499" ht="12.0" customHeight="1">
      <c r="A499" s="1" t="str">
        <f>IFERROR(__xludf.DUMMYFUNCTION("if(ISBLANK('RHS INPUT'!C499),,CONCATENATE(CHAR(34),To_Text('RHS INPUT'!C499),CHAR(34),CHAR(44)))"),"""rhsusf_acc_rotex5_grey"",")</f>
        <v>"rhsusf_acc_rotex5_grey",</v>
      </c>
      <c r="B499" s="18" t="str">
        <f>if(isblank('RHS INPUT'!A499),,CONCATENATE("/*  ",'RHS INPUT'!A499,"  */"))</f>
        <v/>
      </c>
      <c r="C499" s="22" t="str">
        <f>if(isblank(A499),,if('RHS INPUT'!D499=1,Concatenate("class ",'RHS INPUT'!C499),))</f>
        <v>class rhsusf_acc_rotex5_grey</v>
      </c>
      <c r="D499" s="27" t="str">
        <f>if(ISBLANK(A499),,if('RHS INPUT'!D499=1,CONCATENATE("{quality = ",'RHS INPUT'!G499,"; price = ",Round('RHS INPUT'!M499),";};"),""))</f>
        <v>{quality = 3; price = 300;};</v>
      </c>
      <c r="E499" t="str">
        <f>IFERROR(__xludf.DUMMYFUNCTION("if(ISBLANK(A499),, if('RHS INPUT'!E499=1,CONCATENATE(CHAR(34),To_Text('RHS INPUT'!C499),CHAR(34),CHAR(44)),""""))"),"""rhsusf_acc_rotex5_grey"",")</f>
        <v>"rhsusf_acc_rotex5_grey",</v>
      </c>
      <c r="F499" s="28" t="str">
        <f>IF(isblank(A499) ,Concatenate("&gt; ",'RHS INPUT'!A499) , if('RHS INPUT'!F499=1,CONCATENATE(round('RHS INPUT'!N499),Char(44)," ",'RHS INPUT'!C499),""))</f>
        <v>25, rhsusf_acc_rotex5_grey</v>
      </c>
    </row>
    <row r="500" ht="12.0" customHeight="1">
      <c r="A500" s="1" t="str">
        <f>IFERROR(__xludf.DUMMYFUNCTION("if(ISBLANK('RHS INPUT'!C500),,CONCATENATE(CHAR(34),To_Text('RHS INPUT'!C500),CHAR(34),CHAR(44)))"),"""rhsusf_acc_rotex5_tan"",")</f>
        <v>"rhsusf_acc_rotex5_tan",</v>
      </c>
      <c r="B500" s="18" t="str">
        <f>if(isblank('RHS INPUT'!A500),,CONCATENATE("/*  ",'RHS INPUT'!A500,"  */"))</f>
        <v/>
      </c>
      <c r="C500" s="22" t="str">
        <f>if(isblank(A500),,if('RHS INPUT'!D500=1,Concatenate("class ",'RHS INPUT'!C500),))</f>
        <v>class rhsusf_acc_rotex5_tan</v>
      </c>
      <c r="D500" s="27" t="str">
        <f>if(ISBLANK(A500),,if('RHS INPUT'!D500=1,CONCATENATE("{quality = ",'RHS INPUT'!G500,"; price = ",Round('RHS INPUT'!M500),";};"),""))</f>
        <v>{quality = 3; price = 300;};</v>
      </c>
      <c r="E500" t="str">
        <f>IFERROR(__xludf.DUMMYFUNCTION("if(ISBLANK(A500),, if('RHS INPUT'!E500=1,CONCATENATE(CHAR(34),To_Text('RHS INPUT'!C500),CHAR(34),CHAR(44)),""""))"),"""rhsusf_acc_rotex5_tan"",")</f>
        <v>"rhsusf_acc_rotex5_tan",</v>
      </c>
      <c r="F500" s="28" t="str">
        <f>IF(isblank(A500) ,Concatenate("&gt; ",'RHS INPUT'!A500) , if('RHS INPUT'!F500=1,CONCATENATE(round('RHS INPUT'!N500),Char(44)," ",'RHS INPUT'!C500),""))</f>
        <v>25, rhsusf_acc_rotex5_tan</v>
      </c>
    </row>
    <row r="501" ht="12.0" customHeight="1">
      <c r="A501" s="1" t="str">
        <f>IFERROR(__xludf.DUMMYFUNCTION("if(ISBLANK('RHS INPUT'!C501),,CONCATENATE(CHAR(34),To_Text('RHS INPUT'!C501),CHAR(34),CHAR(44)))"),"""rhsusf_acc_nt4_black"",")</f>
        <v>"rhsusf_acc_nt4_black",</v>
      </c>
      <c r="B501" s="18" t="str">
        <f>if(isblank('RHS INPUT'!A501),,CONCATENATE("/*  ",'RHS INPUT'!A501,"  */"))</f>
        <v/>
      </c>
      <c r="C501" s="22" t="str">
        <f>if(isblank(A501),,if('RHS INPUT'!D501=1,Concatenate("class ",'RHS INPUT'!C501),))</f>
        <v>class rhsusf_acc_nt4_black</v>
      </c>
      <c r="D501" s="27" t="str">
        <f>if(ISBLANK(A501),,if('RHS INPUT'!D501=1,CONCATENATE("{quality = ",'RHS INPUT'!G501,"; price = ",Round('RHS INPUT'!M501),";};"),""))</f>
        <v>{quality = 3; price = 300;};</v>
      </c>
      <c r="E501" t="str">
        <f>IFERROR(__xludf.DUMMYFUNCTION("if(ISBLANK(A501),, if('RHS INPUT'!E501=1,CONCATENATE(CHAR(34),To_Text('RHS INPUT'!C501),CHAR(34),CHAR(44)),""""))"),"""rhsusf_acc_nt4_black"",")</f>
        <v>"rhsusf_acc_nt4_black",</v>
      </c>
      <c r="F501" s="28" t="str">
        <f>IF(isblank(A501) ,Concatenate("&gt; ",'RHS INPUT'!A501) , if('RHS INPUT'!F501=1,CONCATENATE(round('RHS INPUT'!N501),Char(44)," ",'RHS INPUT'!C501),""))</f>
        <v>25, rhsusf_acc_nt4_black</v>
      </c>
    </row>
    <row r="502" ht="12.0" customHeight="1">
      <c r="A502" s="1" t="str">
        <f>IFERROR(__xludf.DUMMYFUNCTION("if(ISBLANK('RHS INPUT'!C502),,CONCATENATE(CHAR(34),To_Text('RHS INPUT'!C502),CHAR(34),CHAR(44)))"),"""rhsusf_acc_nt4_tan"",")</f>
        <v>"rhsusf_acc_nt4_tan",</v>
      </c>
      <c r="B502" s="18" t="str">
        <f>if(isblank('RHS INPUT'!A502),,CONCATENATE("/*  ",'RHS INPUT'!A502,"  */"))</f>
        <v/>
      </c>
      <c r="C502" s="22" t="str">
        <f>if(isblank(A502),,if('RHS INPUT'!D502=1,Concatenate("class ",'RHS INPUT'!C502),))</f>
        <v>class rhsusf_acc_nt4_tan</v>
      </c>
      <c r="D502" s="27" t="str">
        <f>if(ISBLANK(A502),,if('RHS INPUT'!D502=1,CONCATENATE("{quality = ",'RHS INPUT'!G502,"; price = ",Round('RHS INPUT'!M502),";};"),""))</f>
        <v>{quality = 3; price = 300;};</v>
      </c>
      <c r="E502" t="str">
        <f>IFERROR(__xludf.DUMMYFUNCTION("if(ISBLANK(A502),, if('RHS INPUT'!E502=1,CONCATENATE(CHAR(34),To_Text('RHS INPUT'!C502),CHAR(34),CHAR(44)),""""))"),"""rhsusf_acc_nt4_tan"",")</f>
        <v>"rhsusf_acc_nt4_tan",</v>
      </c>
      <c r="F502" s="28" t="str">
        <f>IF(isblank(A502) ,Concatenate("&gt; ",'RHS INPUT'!A502) , if('RHS INPUT'!F502=1,CONCATENATE(round('RHS INPUT'!N502),Char(44)," ",'RHS INPUT'!C502),""))</f>
        <v>25, rhsusf_acc_nt4_tan</v>
      </c>
    </row>
    <row r="503" ht="12.0" customHeight="1">
      <c r="A503" s="1" t="str">
        <f>IFERROR(__xludf.DUMMYFUNCTION("if(ISBLANK('RHS INPUT'!C503),,CONCATENATE(CHAR(34),To_Text('RHS INPUT'!C503),CHAR(34),CHAR(44)))"),"""rhsusf_acc_SF3P556"",")</f>
        <v>"rhsusf_acc_SF3P556",</v>
      </c>
      <c r="B503" s="18" t="str">
        <f>if(isblank('RHS INPUT'!A503),,CONCATENATE("/*  ",'RHS INPUT'!A503,"  */"))</f>
        <v/>
      </c>
      <c r="C503" s="22" t="str">
        <f>if(isblank(A503),,if('RHS INPUT'!D503=1,Concatenate("class ",'RHS INPUT'!C503),))</f>
        <v>class rhsusf_acc_SF3P556</v>
      </c>
      <c r="D503" s="27" t="str">
        <f>if(ISBLANK(A503),,if('RHS INPUT'!D503=1,CONCATENATE("{quality = ",'RHS INPUT'!G503,"; price = ",Round('RHS INPUT'!M503),";};"),""))</f>
        <v>{quality = 1; price = 100;};</v>
      </c>
      <c r="E503" t="str">
        <f>IFERROR(__xludf.DUMMYFUNCTION("if(ISBLANK(A503),, if('RHS INPUT'!E503=1,CONCATENATE(CHAR(34),To_Text('RHS INPUT'!C503),CHAR(34),CHAR(44)),""""))"),"""rhsusf_acc_SF3P556"",")</f>
        <v>"rhsusf_acc_SF3P556",</v>
      </c>
      <c r="F503" s="28" t="str">
        <f>IF(isblank(A503) ,Concatenate("&gt; ",'RHS INPUT'!A503) , if('RHS INPUT'!F503=1,CONCATENATE(round('RHS INPUT'!N503),Char(44)," ",'RHS INPUT'!C503),""))</f>
        <v>50, rhsusf_acc_SF3P556</v>
      </c>
    </row>
    <row r="504" ht="12.0" customHeight="1">
      <c r="A504" s="1" t="str">
        <f>IFERROR(__xludf.DUMMYFUNCTION("if(ISBLANK('RHS INPUT'!C504),,CONCATENATE(CHAR(34),To_Text('RHS INPUT'!C504),CHAR(34),CHAR(44)))"),"""rhsusf_acc_SFMB556"",")</f>
        <v>"rhsusf_acc_SFMB556",</v>
      </c>
      <c r="B504" s="18" t="str">
        <f>if(isblank('RHS INPUT'!A504),,CONCATENATE("/*  ",'RHS INPUT'!A504,"  */"))</f>
        <v/>
      </c>
      <c r="C504" s="22" t="str">
        <f>if(isblank(A504),,if('RHS INPUT'!D504=1,Concatenate("class ",'RHS INPUT'!C504),))</f>
        <v>class rhsusf_acc_SFMB556</v>
      </c>
      <c r="D504" s="27" t="str">
        <f>if(ISBLANK(A504),,if('RHS INPUT'!D504=1,CONCATENATE("{quality = ",'RHS INPUT'!G504,"; price = ",Round('RHS INPUT'!M504),";};"),""))</f>
        <v>{quality = 1; price = 100;};</v>
      </c>
      <c r="E504" t="str">
        <f>IFERROR(__xludf.DUMMYFUNCTION("if(ISBLANK(A504),, if('RHS INPUT'!E504=1,CONCATENATE(CHAR(34),To_Text('RHS INPUT'!C504),CHAR(34),CHAR(44)),""""))"),"""rhsusf_acc_SFMB556"",")</f>
        <v>"rhsusf_acc_SFMB556",</v>
      </c>
      <c r="F504" s="28" t="str">
        <f>IF(isblank(A504) ,Concatenate("&gt; ",'RHS INPUT'!A504) , if('RHS INPUT'!F504=1,CONCATENATE(round('RHS INPUT'!N504),Char(44)," ",'RHS INPUT'!C504),""))</f>
        <v>50, rhsusf_acc_SFMB556</v>
      </c>
    </row>
    <row r="505" ht="12.0" customHeight="1">
      <c r="A505" s="1" t="str">
        <f>IFERROR(__xludf.DUMMYFUNCTION("if(ISBLANK('RHS INPUT'!C505),,CONCATENATE(CHAR(34),To_Text('RHS INPUT'!C505),CHAR(34),CHAR(44)))"),"")</f>
        <v/>
      </c>
      <c r="B505" s="18" t="str">
        <f>if(isblank('RHS INPUT'!A505),,CONCATENATE("/*  ",'RHS INPUT'!A505,"  */"))</f>
        <v>/*  AMMUNITION  */</v>
      </c>
      <c r="C505" s="22" t="str">
        <f>if(isblank(A505),,if('RHS INPUT'!D505=1,Concatenate("class ",'RHS INPUT'!C505),))</f>
        <v/>
      </c>
      <c r="D505" s="27" t="str">
        <f>if(ISBLANK(A505),,if('RHS INPUT'!D505=1,CONCATENATE("{quality = ",'RHS INPUT'!G505,"; price = ",Round('RHS INPUT'!M505),";};"),""))</f>
        <v/>
      </c>
      <c r="E505" t="str">
        <f>IFERROR(__xludf.DUMMYFUNCTION("if(ISBLANK(A505),, if('RHS INPUT'!E505=1,CONCATENATE(CHAR(34),To_Text('RHS INPUT'!C505),CHAR(34),CHAR(44)),""""))"),"")</f>
        <v/>
      </c>
      <c r="F505" s="28" t="str">
        <f>IF(isblank(A505) ,Concatenate("&gt; ",'RHS INPUT'!A505) , if('RHS INPUT'!F505=1,CONCATENATE(round('RHS INPUT'!N505),Char(44)," ",'RHS INPUT'!C505),""))</f>
        <v>&gt; AMMUNITION</v>
      </c>
    </row>
    <row r="506" ht="12.0" customHeight="1">
      <c r="A506" s="1" t="str">
        <f>IFERROR(__xludf.DUMMYFUNCTION("if(ISBLANK('RHS INPUT'!C506),,CONCATENATE(CHAR(34),To_Text('RHS INPUT'!C506),CHAR(34),CHAR(44)))"),"""6Rnd_GreenSignal_F"",")</f>
        <v>"6Rnd_GreenSignal_F",</v>
      </c>
      <c r="B506" s="18" t="str">
        <f>if(isblank('RHS INPUT'!A506),,CONCATENATE("/*  ",'RHS INPUT'!A506,"  */"))</f>
        <v/>
      </c>
      <c r="C506" s="22" t="str">
        <f>if(isblank(A506),,if('RHS INPUT'!D506=1,Concatenate("class ",'RHS INPUT'!C506),))</f>
        <v>class 6Rnd_GreenSignal_F</v>
      </c>
      <c r="D506" s="27" t="str">
        <f>if(ISBLANK(A506),,if('RHS INPUT'!D506=1,CONCATENATE("{quality = ",'RHS INPUT'!G506,"; price = ",Round('RHS INPUT'!M506),";};"),""))</f>
        <v>{quality = 2; price = 24;};</v>
      </c>
      <c r="E506" t="str">
        <f>IFERROR(__xludf.DUMMYFUNCTION("if(ISBLANK(A506),, if('RHS INPUT'!E506=1,CONCATENATE(CHAR(34),To_Text('RHS INPUT'!C506),CHAR(34),CHAR(44)),""""))"),"""6Rnd_GreenSignal_F"",")</f>
        <v>"6Rnd_GreenSignal_F",</v>
      </c>
      <c r="F506" s="28" t="str">
        <f>IF(isblank(A506) ,Concatenate("&gt; ",'RHS INPUT'!A506) , if('RHS INPUT'!F506=1,CONCATENATE(round('RHS INPUT'!N506),Char(44)," ",'RHS INPUT'!C506),""))</f>
        <v>81, 6Rnd_GreenSignal_F</v>
      </c>
    </row>
    <row r="507" ht="12.0" customHeight="1">
      <c r="A507" s="1" t="str">
        <f>IFERROR(__xludf.DUMMYFUNCTION("if(ISBLANK('RHS INPUT'!C507),,CONCATENATE(CHAR(34),To_Text('RHS INPUT'!C507),CHAR(34),CHAR(44)))"),"""6Rnd_RedSignal_F"",")</f>
        <v>"6Rnd_RedSignal_F",</v>
      </c>
      <c r="B507" s="18" t="str">
        <f>if(isblank('RHS INPUT'!A507),,CONCATENATE("/*  ",'RHS INPUT'!A507,"  */"))</f>
        <v/>
      </c>
      <c r="C507" s="22" t="str">
        <f>if(isblank(A507),,if('RHS INPUT'!D507=1,Concatenate("class ",'RHS INPUT'!C507),))</f>
        <v>class 6Rnd_RedSignal_F</v>
      </c>
      <c r="D507" s="27" t="str">
        <f>if(ISBLANK(A507),,if('RHS INPUT'!D507=1,CONCATENATE("{quality = ",'RHS INPUT'!G507,"; price = ",Round('RHS INPUT'!M507),";};"),""))</f>
        <v>{quality = 2; price = 24;};</v>
      </c>
      <c r="E507" t="str">
        <f>IFERROR(__xludf.DUMMYFUNCTION("if(ISBLANK(A507),, if('RHS INPUT'!E507=1,CONCATENATE(CHAR(34),To_Text('RHS INPUT'!C507),CHAR(34),CHAR(44)),""""))"),"""6Rnd_RedSignal_F"",")</f>
        <v>"6Rnd_RedSignal_F",</v>
      </c>
      <c r="F507" s="28" t="str">
        <f>IF(isblank(A507) ,Concatenate("&gt; ",'RHS INPUT'!A507) , if('RHS INPUT'!F507=1,CONCATENATE(round('RHS INPUT'!N507),Char(44)," ",'RHS INPUT'!C507),""))</f>
        <v>81, 6Rnd_RedSignal_F</v>
      </c>
    </row>
    <row r="508" ht="12.0" customHeight="1">
      <c r="A508" s="1" t="str">
        <f>IFERROR(__xludf.DUMMYFUNCTION("if(ISBLANK('RHS INPUT'!C508),,CONCATENATE(CHAR(34),To_Text('RHS INPUT'!C508),CHAR(34),CHAR(44)))"),"""6Rnd_45ACP_Cylinder"",")</f>
        <v>"6Rnd_45ACP_Cylinder",</v>
      </c>
      <c r="B508" s="18" t="str">
        <f>if(isblank('RHS INPUT'!A508),,CONCATENATE("/*  ",'RHS INPUT'!A508,"  */"))</f>
        <v/>
      </c>
      <c r="C508" s="22" t="str">
        <f>if(isblank(A508),,if('RHS INPUT'!D508=1,Concatenate("class ",'RHS INPUT'!C508),))</f>
        <v>class 6Rnd_45ACP_Cylinder</v>
      </c>
      <c r="D508" s="27" t="str">
        <f>if(ISBLANK(A508),,if('RHS INPUT'!D508=1,CONCATENATE("{quality = ",'RHS INPUT'!G508,"; price = ",Round('RHS INPUT'!M508),";};"),""))</f>
        <v>{quality = 2; price = 12;};</v>
      </c>
      <c r="E508" t="str">
        <f>IFERROR(__xludf.DUMMYFUNCTION("if(ISBLANK(A508),, if('RHS INPUT'!E508=1,CONCATENATE(CHAR(34),To_Text('RHS INPUT'!C508),CHAR(34),CHAR(44)),""""))"),"""6Rnd_45ACP_Cylinder"",")</f>
        <v>"6Rnd_45ACP_Cylinder",</v>
      </c>
      <c r="F508" s="28" t="str">
        <f>IF(isblank(A508) ,Concatenate("&gt; ",'RHS INPUT'!A508) , if('RHS INPUT'!F508=1,CONCATENATE(round('RHS INPUT'!N508),Char(44)," ",'RHS INPUT'!C508),""))</f>
        <v>89, 6Rnd_45ACP_Cylinder</v>
      </c>
    </row>
    <row r="509" ht="12.0" customHeight="1">
      <c r="A509" s="1" t="str">
        <f>IFERROR(__xludf.DUMMYFUNCTION("if(ISBLANK('RHS INPUT'!C509),,CONCATENATE(CHAR(34),To_Text('RHS INPUT'!C509),CHAR(34),CHAR(44)))"),"""9Rnd_45ACP_Mag"",")</f>
        <v>"9Rnd_45ACP_Mag",</v>
      </c>
      <c r="B509" s="18" t="str">
        <f>if(isblank('RHS INPUT'!A509),,CONCATENATE("/*  ",'RHS INPUT'!A509,"  */"))</f>
        <v/>
      </c>
      <c r="C509" s="22" t="str">
        <f>if(isblank(A509),,if('RHS INPUT'!D509=1,Concatenate("class ",'RHS INPUT'!C509),))</f>
        <v>class 9Rnd_45ACP_Mag</v>
      </c>
      <c r="D509" s="27" t="str">
        <f>if(ISBLANK(A509),,if('RHS INPUT'!D509=1,CONCATENATE("{quality = ",'RHS INPUT'!G509,"; price = ",Round('RHS INPUT'!M509),";};"),""))</f>
        <v>{quality = 2; price = 18;};</v>
      </c>
      <c r="E509" t="str">
        <f>IFERROR(__xludf.DUMMYFUNCTION("if(ISBLANK(A509),, if('RHS INPUT'!E509=1,CONCATENATE(CHAR(34),To_Text('RHS INPUT'!C509),CHAR(34),CHAR(44)),""""))"),"""9Rnd_45ACP_Mag"",")</f>
        <v>"9Rnd_45ACP_Mag",</v>
      </c>
      <c r="F509" s="28" t="str">
        <f>IF(isblank(A509) ,Concatenate("&gt; ",'RHS INPUT'!A509) , if('RHS INPUT'!F509=1,CONCATENATE(round('RHS INPUT'!N509),Char(44)," ",'RHS INPUT'!C509),""))</f>
        <v>85, 9Rnd_45ACP_Mag</v>
      </c>
    </row>
    <row r="510" ht="12.0" customHeight="1">
      <c r="A510" s="1" t="str">
        <f>IFERROR(__xludf.DUMMYFUNCTION("if(ISBLANK('RHS INPUT'!C510),,CONCATENATE(CHAR(34),To_Text('RHS INPUT'!C510),CHAR(34),CHAR(44)))"),"""11Rnd_45ACP_Mag"",")</f>
        <v>"11Rnd_45ACP_Mag",</v>
      </c>
      <c r="B510" s="18" t="str">
        <f>if(isblank('RHS INPUT'!A510),,CONCATENATE("/*  ",'RHS INPUT'!A510,"  */"))</f>
        <v/>
      </c>
      <c r="C510" s="22" t="str">
        <f>if(isblank(A510),,if('RHS INPUT'!D510=1,Concatenate("class ",'RHS INPUT'!C510),))</f>
        <v>class 11Rnd_45ACP_Mag</v>
      </c>
      <c r="D510" s="27" t="str">
        <f>if(ISBLANK(A510),,if('RHS INPUT'!D510=1,CONCATENATE("{quality = ",'RHS INPUT'!G510,"; price = ",Round('RHS INPUT'!M510),";};"),""))</f>
        <v>{quality = 2; price = 22;};</v>
      </c>
      <c r="E510" t="str">
        <f>IFERROR(__xludf.DUMMYFUNCTION("if(ISBLANK(A510),, if('RHS INPUT'!E510=1,CONCATENATE(CHAR(34),To_Text('RHS INPUT'!C510),CHAR(34),CHAR(44)),""""))"),"""11Rnd_45ACP_Mag"",")</f>
        <v>"11Rnd_45ACP_Mag",</v>
      </c>
      <c r="F510" s="28" t="str">
        <f>IF(isblank(A510) ,Concatenate("&gt; ",'RHS INPUT'!A510) , if('RHS INPUT'!F510=1,CONCATENATE(round('RHS INPUT'!N510),Char(44)," ",'RHS INPUT'!C510),""))</f>
        <v>82, 11Rnd_45ACP_Mag</v>
      </c>
    </row>
    <row r="511" ht="12.0" customHeight="1">
      <c r="A511" s="1" t="str">
        <f>IFERROR(__xludf.DUMMYFUNCTION("if(ISBLANK('RHS INPUT'!C511),,CONCATENATE(CHAR(34),To_Text('RHS INPUT'!C511),CHAR(34),CHAR(44)))"),"""16Rnd_9x21_Mag"",")</f>
        <v>"16Rnd_9x21_Mag",</v>
      </c>
      <c r="B511" s="18" t="str">
        <f>if(isblank('RHS INPUT'!A511),,CONCATENATE("/*  ",'RHS INPUT'!A511,"  */"))</f>
        <v/>
      </c>
      <c r="C511" s="22" t="str">
        <f>if(isblank(A511),,if('RHS INPUT'!D511=1,Concatenate("class ",'RHS INPUT'!C511),))</f>
        <v>class 16Rnd_9x21_Mag</v>
      </c>
      <c r="D511" s="27" t="str">
        <f>if(ISBLANK(A511),,if('RHS INPUT'!D511=1,CONCATENATE("{quality = ",'RHS INPUT'!G511,"; price = ",Round('RHS INPUT'!M511),";};"),""))</f>
        <v>{quality = 1; price = 16;};</v>
      </c>
      <c r="E511" t="str">
        <f>IFERROR(__xludf.DUMMYFUNCTION("if(ISBLANK(A511),, if('RHS INPUT'!E511=1,CONCATENATE(CHAR(34),To_Text('RHS INPUT'!C511),CHAR(34),CHAR(44)),""""))"),"""16Rnd_9x21_Mag"",")</f>
        <v>"16Rnd_9x21_Mag",</v>
      </c>
      <c r="F511" s="28" t="str">
        <f>IF(isblank(A511) ,Concatenate("&gt; ",'RHS INPUT'!A511) , if('RHS INPUT'!F511=1,CONCATENATE(round('RHS INPUT'!N511),Char(44)," ",'RHS INPUT'!C511),""))</f>
        <v>86, 16Rnd_9x21_Mag</v>
      </c>
    </row>
    <row r="512" ht="12.0" customHeight="1">
      <c r="A512" s="1" t="str">
        <f>IFERROR(__xludf.DUMMYFUNCTION("if(ISBLANK('RHS INPUT'!C512),,CONCATENATE(CHAR(34),To_Text('RHS INPUT'!C512),CHAR(34),CHAR(44)))"),"""20Rnd_556x45_UW_mag"",")</f>
        <v>"20Rnd_556x45_UW_mag",</v>
      </c>
      <c r="B512" s="18" t="str">
        <f>if(isblank('RHS INPUT'!A512),,CONCATENATE("/*  ",'RHS INPUT'!A512,"  */"))</f>
        <v/>
      </c>
      <c r="C512" s="22" t="str">
        <f>if(isblank(A512),,if('RHS INPUT'!D512=1,Concatenate("class ",'RHS INPUT'!C512),))</f>
        <v>class 20Rnd_556x45_UW_mag</v>
      </c>
      <c r="D512" s="27" t="str">
        <f>if(ISBLANK(A512),,if('RHS INPUT'!D512=1,CONCATENATE("{quality = ",'RHS INPUT'!G512,"; price = ",Round('RHS INPUT'!M512),";};"),""))</f>
        <v>{quality = 3; price = 120;};</v>
      </c>
      <c r="E512" t="str">
        <f>IFERROR(__xludf.DUMMYFUNCTION("if(ISBLANK(A512),, if('RHS INPUT'!E512=1,CONCATENATE(CHAR(34),To_Text('RHS INPUT'!C512),CHAR(34),CHAR(44)),""""))"),"""20Rnd_556x45_UW_mag"",")</f>
        <v>"20Rnd_556x45_UW_mag",</v>
      </c>
      <c r="F512" s="28" t="str">
        <f>IF(isblank(A512) ,Concatenate("&gt; ",'RHS INPUT'!A512) , if('RHS INPUT'!F512=1,CONCATENATE(round('RHS INPUT'!N512),Char(44)," ",'RHS INPUT'!C512),""))</f>
        <v>45, 20Rnd_556x45_UW_mag</v>
      </c>
    </row>
    <row r="513" ht="12.0" customHeight="1">
      <c r="A513" s="1" t="str">
        <f>IFERROR(__xludf.DUMMYFUNCTION("if(ISBLANK('RHS INPUT'!C513),,CONCATENATE(CHAR(34),To_Text('RHS INPUT'!C513),CHAR(34),CHAR(44)))"),"""30Rnd_9x21_Mag"",")</f>
        <v>"30Rnd_9x21_Mag",</v>
      </c>
      <c r="B513" s="18" t="str">
        <f>if(isblank('RHS INPUT'!A513),,CONCATENATE("/*  ",'RHS INPUT'!A513,"  */"))</f>
        <v/>
      </c>
      <c r="C513" s="22" t="str">
        <f>if(isblank(A513),,if('RHS INPUT'!D513=1,Concatenate("class ",'RHS INPUT'!C513),))</f>
        <v>class 30Rnd_9x21_Mag</v>
      </c>
      <c r="D513" s="27" t="str">
        <f>if(ISBLANK(A513),,if('RHS INPUT'!D513=1,CONCATENATE("{quality = ",'RHS INPUT'!G513,"; price = ",Round('RHS INPUT'!M513),";};"),""))</f>
        <v>{quality = 1; price = 30;};</v>
      </c>
      <c r="E513" t="str">
        <f>IFERROR(__xludf.DUMMYFUNCTION("if(ISBLANK(A513),, if('RHS INPUT'!E513=1,CONCATENATE(CHAR(34),To_Text('RHS INPUT'!C513),CHAR(34),CHAR(44)),""""))"),"""30Rnd_9x21_Mag"",")</f>
        <v>"30Rnd_9x21_Mag",</v>
      </c>
      <c r="F513" s="28" t="str">
        <f>IF(isblank(A513) ,Concatenate("&gt; ",'RHS INPUT'!A513) , if('RHS INPUT'!F513=1,CONCATENATE(round('RHS INPUT'!N513),Char(44)," ",'RHS INPUT'!C513),""))</f>
        <v>77, 30Rnd_9x21_Mag</v>
      </c>
    </row>
    <row r="514" ht="12.0" customHeight="1">
      <c r="A514" s="1" t="str">
        <f>IFERROR(__xludf.DUMMYFUNCTION("if(ISBLANK('RHS INPUT'!C514),,CONCATENATE(CHAR(34),To_Text('RHS INPUT'!C514),CHAR(34),CHAR(44)))"),"""30Rnd_45ACP_Mag_SMG_01"",")</f>
        <v>"30Rnd_45ACP_Mag_SMG_01",</v>
      </c>
      <c r="B514" s="18" t="str">
        <f>if(isblank('RHS INPUT'!A514),,CONCATENATE("/*  ",'RHS INPUT'!A514,"  */"))</f>
        <v/>
      </c>
      <c r="C514" s="22" t="str">
        <f>if(isblank(A514),,if('RHS INPUT'!D514=1,Concatenate("class ",'RHS INPUT'!C514),))</f>
        <v>class 30Rnd_45ACP_Mag_SMG_01</v>
      </c>
      <c r="D514" s="27" t="str">
        <f>if(ISBLANK(A514),,if('RHS INPUT'!D514=1,CONCATENATE("{quality = ",'RHS INPUT'!G514,"; price = ",Round('RHS INPUT'!M514),";};"),""))</f>
        <v>{quality = 2; price = 60;};</v>
      </c>
      <c r="E514" t="str">
        <f>IFERROR(__xludf.DUMMYFUNCTION("if(ISBLANK(A514),, if('RHS INPUT'!E514=1,CONCATENATE(CHAR(34),To_Text('RHS INPUT'!C514),CHAR(34),CHAR(44)),""""))"),"""30Rnd_45ACP_Mag_SMG_01"",")</f>
        <v>"30Rnd_45ACP_Mag_SMG_01",</v>
      </c>
      <c r="F514" s="28" t="str">
        <f>IF(isblank(A514) ,Concatenate("&gt; ",'RHS INPUT'!A514) , if('RHS INPUT'!F514=1,CONCATENATE(round('RHS INPUT'!N514),Char(44)," ",'RHS INPUT'!C514),""))</f>
        <v>63, 30Rnd_45ACP_Mag_SMG_01</v>
      </c>
    </row>
    <row r="515" ht="12.0" customHeight="1">
      <c r="A515" s="1" t="str">
        <f>IFERROR(__xludf.DUMMYFUNCTION("if(ISBLANK('RHS INPUT'!C515),,CONCATENATE(CHAR(34),To_Text('RHS INPUT'!C515),CHAR(34),CHAR(44)))"),"""30Rnd_556x45_Stanag"",")</f>
        <v>"30Rnd_556x45_Stanag",</v>
      </c>
      <c r="B515" s="18" t="str">
        <f>if(isblank('RHS INPUT'!A515),,CONCATENATE("/*  ",'RHS INPUT'!A515,"  */"))</f>
        <v/>
      </c>
      <c r="C515" s="22" t="str">
        <f>if(isblank(A515),,if('RHS INPUT'!D515=1,Concatenate("class ",'RHS INPUT'!C515),))</f>
        <v>class 30Rnd_556x45_Stanag</v>
      </c>
      <c r="D515" s="27" t="str">
        <f>if(ISBLANK(A515),,if('RHS INPUT'!D515=1,CONCATENATE("{quality = ",'RHS INPUT'!G515,"; price = ",Round('RHS INPUT'!M515),";};"),""))</f>
        <v>{quality = 1; price = 60;};</v>
      </c>
      <c r="E515" t="str">
        <f>IFERROR(__xludf.DUMMYFUNCTION("if(ISBLANK(A515),, if('RHS INPUT'!E515=1,CONCATENATE(CHAR(34),To_Text('RHS INPUT'!C515),CHAR(34),CHAR(44)),""""))"),"""30Rnd_556x45_Stanag"",")</f>
        <v>"30Rnd_556x45_Stanag",</v>
      </c>
      <c r="F515" s="28" t="str">
        <f>IF(isblank(A515) ,Concatenate("&gt; ",'RHS INPUT'!A515) , if('RHS INPUT'!F515=1,CONCATENATE(round('RHS INPUT'!N515),Char(44)," ",'RHS INPUT'!C515),""))</f>
        <v>63, 30Rnd_556x45_Stanag</v>
      </c>
    </row>
    <row r="516" ht="12.0" customHeight="1">
      <c r="A516" s="1" t="str">
        <f>IFERROR(__xludf.DUMMYFUNCTION("if(ISBLANK('RHS INPUT'!C516),,CONCATENATE(CHAR(34),To_Text('RHS INPUT'!C516),CHAR(34),CHAR(44)))"),"""30Rnd_65x39_caseless_green"",")</f>
        <v>"30Rnd_65x39_caseless_green",</v>
      </c>
      <c r="B516" s="18" t="str">
        <f>if(isblank('RHS INPUT'!A516),,CONCATENATE("/*  ",'RHS INPUT'!A516,"  */"))</f>
        <v/>
      </c>
      <c r="C516" s="22" t="str">
        <f>if(isblank(A516),,if('RHS INPUT'!D516=1,Concatenate("class ",'RHS INPUT'!C516),))</f>
        <v>class 30Rnd_65x39_caseless_green</v>
      </c>
      <c r="D516" s="27" t="str">
        <f>if(ISBLANK(A516),,if('RHS INPUT'!D516=1,CONCATENATE("{quality = ",'RHS INPUT'!G516,"; price = ",Round('RHS INPUT'!M516),";};"),""))</f>
        <v>{quality = 1; price = 60;};</v>
      </c>
      <c r="E516" t="str">
        <f>IFERROR(__xludf.DUMMYFUNCTION("if(ISBLANK(A516),, if('RHS INPUT'!E516=1,CONCATENATE(CHAR(34),To_Text('RHS INPUT'!C516),CHAR(34),CHAR(44)),""""))"),"""30Rnd_65x39_caseless_green"",")</f>
        <v>"30Rnd_65x39_caseless_green",</v>
      </c>
      <c r="F516" s="28" t="str">
        <f>IF(isblank(A516) ,Concatenate("&gt; ",'RHS INPUT'!A516) , if('RHS INPUT'!F516=1,CONCATENATE(round('RHS INPUT'!N516),Char(44)," ",'RHS INPUT'!C516),""))</f>
        <v>63, 30Rnd_65x39_caseless_green</v>
      </c>
    </row>
    <row r="517" ht="12.0" customHeight="1">
      <c r="A517" s="1" t="str">
        <f>IFERROR(__xludf.DUMMYFUNCTION("if(ISBLANK('RHS INPUT'!C517),,CONCATENATE(CHAR(34),To_Text('RHS INPUT'!C517),CHAR(34),CHAR(44)))"),"""30Rnd_65x39_caseless_mag"",")</f>
        <v>"30Rnd_65x39_caseless_mag",</v>
      </c>
      <c r="B517" s="18" t="str">
        <f>if(isblank('RHS INPUT'!A517),,CONCATENATE("/*  ",'RHS INPUT'!A517,"  */"))</f>
        <v/>
      </c>
      <c r="C517" s="22" t="str">
        <f>if(isblank(A517),,if('RHS INPUT'!D517=1,Concatenate("class ",'RHS INPUT'!C517),))</f>
        <v>class 30Rnd_65x39_caseless_mag</v>
      </c>
      <c r="D517" s="27" t="str">
        <f>if(ISBLANK(A517),,if('RHS INPUT'!D517=1,CONCATENATE("{quality = ",'RHS INPUT'!G517,"; price = ",Round('RHS INPUT'!M517),";};"),""))</f>
        <v>{quality = 1; price = 60;};</v>
      </c>
      <c r="E517" t="str">
        <f>IFERROR(__xludf.DUMMYFUNCTION("if(ISBLANK(A517),, if('RHS INPUT'!E517=1,CONCATENATE(CHAR(34),To_Text('RHS INPUT'!C517),CHAR(34),CHAR(44)),""""))"),"""30Rnd_65x39_caseless_mag"",")</f>
        <v>"30Rnd_65x39_caseless_mag",</v>
      </c>
      <c r="F517" s="28" t="str">
        <f>IF(isblank(A517) ,Concatenate("&gt; ",'RHS INPUT'!A517) , if('RHS INPUT'!F517=1,CONCATENATE(round('RHS INPUT'!N517),Char(44)," ",'RHS INPUT'!C517),""))</f>
        <v>63, 30Rnd_65x39_caseless_mag</v>
      </c>
    </row>
    <row r="518" ht="12.0" customHeight="1">
      <c r="A518" s="1" t="str">
        <f>IFERROR(__xludf.DUMMYFUNCTION("if(ISBLANK('RHS INPUT'!C518),,CONCATENATE(CHAR(34),To_Text('RHS INPUT'!C518),CHAR(34),CHAR(44)))"),"""30Rnd_45ACP_Mag_SMG_01_Tracer_Green"",")</f>
        <v>"30Rnd_45ACP_Mag_SMG_01_Tracer_Green",</v>
      </c>
      <c r="B518" s="18" t="str">
        <f>if(isblank('RHS INPUT'!A518),,CONCATENATE("/*  ",'RHS INPUT'!A518,"  */"))</f>
        <v/>
      </c>
      <c r="C518" s="22" t="str">
        <f>if(isblank(A518),,if('RHS INPUT'!D518=1,Concatenate("class ",'RHS INPUT'!C518),))</f>
        <v>class 30Rnd_45ACP_Mag_SMG_01_Tracer_Green</v>
      </c>
      <c r="D518" s="27" t="str">
        <f>if(ISBLANK(A518),,if('RHS INPUT'!D518=1,CONCATENATE("{quality = ",'RHS INPUT'!G518,"; price = ",Round('RHS INPUT'!M518),";};"),""))</f>
        <v>{quality = 2; price = 60;};</v>
      </c>
      <c r="E518" t="str">
        <f>IFERROR(__xludf.DUMMYFUNCTION("if(ISBLANK(A518),, if('RHS INPUT'!E518=1,CONCATENATE(CHAR(34),To_Text('RHS INPUT'!C518),CHAR(34),CHAR(44)),""""))"),"""30Rnd_45ACP_Mag_SMG_01_Tracer_Green"",")</f>
        <v>"30Rnd_45ACP_Mag_SMG_01_Tracer_Green",</v>
      </c>
      <c r="F518" s="28" t="str">
        <f>IF(isblank(A518) ,Concatenate("&gt; ",'RHS INPUT'!A518) , if('RHS INPUT'!F518=1,CONCATENATE(round('RHS INPUT'!N518),Char(44)," ",'RHS INPUT'!C518),""))</f>
        <v>63, 30Rnd_45ACP_Mag_SMG_01_Tracer_Green</v>
      </c>
    </row>
    <row r="519" ht="12.0" customHeight="1">
      <c r="A519" s="1" t="str">
        <f>IFERROR(__xludf.DUMMYFUNCTION("if(ISBLANK('RHS INPUT'!C519),,CONCATENATE(CHAR(34),To_Text('RHS INPUT'!C519),CHAR(34),CHAR(44)))"),"""30Rnd_45ACP_Mag_SMG_01_Tracer_Yellow"",")</f>
        <v>"30Rnd_45ACP_Mag_SMG_01_Tracer_Yellow",</v>
      </c>
      <c r="B519" s="18" t="str">
        <f>if(isblank('RHS INPUT'!A519),,CONCATENATE("/*  ",'RHS INPUT'!A519,"  */"))</f>
        <v/>
      </c>
      <c r="C519" s="22" t="str">
        <f>if(isblank(A519),,if('RHS INPUT'!D519=1,Concatenate("class ",'RHS INPUT'!C519),))</f>
        <v>class 30Rnd_45ACP_Mag_SMG_01_Tracer_Yellow</v>
      </c>
      <c r="D519" s="27" t="str">
        <f>if(ISBLANK(A519),,if('RHS INPUT'!D519=1,CONCATENATE("{quality = ",'RHS INPUT'!G519,"; price = ",Round('RHS INPUT'!M519),";};"),""))</f>
        <v>{quality = 2; price = 60;};</v>
      </c>
      <c r="E519" t="str">
        <f>IFERROR(__xludf.DUMMYFUNCTION("if(ISBLANK(A519),, if('RHS INPUT'!E519=1,CONCATENATE(CHAR(34),To_Text('RHS INPUT'!C519),CHAR(34),CHAR(44)),""""))"),"""30Rnd_45ACP_Mag_SMG_01_Tracer_Yellow"",")</f>
        <v>"30Rnd_45ACP_Mag_SMG_01_Tracer_Yellow",</v>
      </c>
      <c r="F519" s="28" t="str">
        <f>IF(isblank(A519) ,Concatenate("&gt; ",'RHS INPUT'!A519) , if('RHS INPUT'!F519=1,CONCATENATE(round('RHS INPUT'!N519),Char(44)," ",'RHS INPUT'!C519),""))</f>
        <v>63, 30Rnd_45ACP_Mag_SMG_01_Tracer_Yellow</v>
      </c>
    </row>
    <row r="520" ht="12.0" customHeight="1">
      <c r="A520" s="1" t="str">
        <f>IFERROR(__xludf.DUMMYFUNCTION("if(ISBLANK('RHS INPUT'!C520),,CONCATENATE(CHAR(34),To_Text('RHS INPUT'!C520),CHAR(34),CHAR(44)))"),"""30Rnd_45ACP_Mag_SMG_01_Tracer_Red"",")</f>
        <v>"30Rnd_45ACP_Mag_SMG_01_Tracer_Red",</v>
      </c>
      <c r="B520" s="18" t="str">
        <f>if(isblank('RHS INPUT'!A520),,CONCATENATE("/*  ",'RHS INPUT'!A520,"  */"))</f>
        <v/>
      </c>
      <c r="C520" s="22" t="str">
        <f>if(isblank(A520),,if('RHS INPUT'!D520=1,Concatenate("class ",'RHS INPUT'!C520),))</f>
        <v>class 30Rnd_45ACP_Mag_SMG_01_Tracer_Red</v>
      </c>
      <c r="D520" s="27" t="str">
        <f>if(ISBLANK(A520),,if('RHS INPUT'!D520=1,CONCATENATE("{quality = ",'RHS INPUT'!G520,"; price = ",Round('RHS INPUT'!M520),";};"),""))</f>
        <v>{quality = 2; price = 60;};</v>
      </c>
      <c r="E520" t="str">
        <f>IFERROR(__xludf.DUMMYFUNCTION("if(ISBLANK(A520),, if('RHS INPUT'!E520=1,CONCATENATE(CHAR(34),To_Text('RHS INPUT'!C520),CHAR(34),CHAR(44)),""""))"),"""30Rnd_45ACP_Mag_SMG_01_Tracer_Red"",")</f>
        <v>"30Rnd_45ACP_Mag_SMG_01_Tracer_Red",</v>
      </c>
      <c r="F520" s="28" t="str">
        <f>IF(isblank(A520) ,Concatenate("&gt; ",'RHS INPUT'!A520) , if('RHS INPUT'!F520=1,CONCATENATE(round('RHS INPUT'!N520),Char(44)," ",'RHS INPUT'!C520),""))</f>
        <v>63, 30Rnd_45ACP_Mag_SMG_01_Tracer_Red</v>
      </c>
    </row>
    <row r="521" ht="12.0" customHeight="1">
      <c r="A521" s="1" t="str">
        <f>IFERROR(__xludf.DUMMYFUNCTION("if(ISBLANK('RHS INPUT'!C521),,CONCATENATE(CHAR(34),To_Text('RHS INPUT'!C521),CHAR(34),CHAR(44)))"),"""30Rnd_556x45_Stanag_Tracer_Green"",")</f>
        <v>"30Rnd_556x45_Stanag_Tracer_Green",</v>
      </c>
      <c r="B521" s="18" t="str">
        <f>if(isblank('RHS INPUT'!A521),,CONCATENATE("/*  ",'RHS INPUT'!A521,"  */"))</f>
        <v/>
      </c>
      <c r="C521" s="22" t="str">
        <f>if(isblank(A521),,if('RHS INPUT'!D521=1,Concatenate("class ",'RHS INPUT'!C521),))</f>
        <v>class 30Rnd_556x45_Stanag_Tracer_Green</v>
      </c>
      <c r="D521" s="27" t="str">
        <f>if(ISBLANK(A521),,if('RHS INPUT'!D521=1,CONCATENATE("{quality = ",'RHS INPUT'!G521,"; price = ",Round('RHS INPUT'!M521),";};"),""))</f>
        <v>{quality = 1; price = 60;};</v>
      </c>
      <c r="E521" t="str">
        <f>IFERROR(__xludf.DUMMYFUNCTION("if(ISBLANK(A521),, if('RHS INPUT'!E521=1,CONCATENATE(CHAR(34),To_Text('RHS INPUT'!C521),CHAR(34),CHAR(44)),""""))"),"""30Rnd_556x45_Stanag_Tracer_Green"",")</f>
        <v>"30Rnd_556x45_Stanag_Tracer_Green",</v>
      </c>
      <c r="F521" s="28" t="str">
        <f>IF(isblank(A521) ,Concatenate("&gt; ",'RHS INPUT'!A521) , if('RHS INPUT'!F521=1,CONCATENATE(round('RHS INPUT'!N521),Char(44)," ",'RHS INPUT'!C521),""))</f>
        <v>63, 30Rnd_556x45_Stanag_Tracer_Green</v>
      </c>
    </row>
    <row r="522" ht="12.0" customHeight="1">
      <c r="A522" s="1" t="str">
        <f>IFERROR(__xludf.DUMMYFUNCTION("if(ISBLANK('RHS INPUT'!C522),,CONCATENATE(CHAR(34),To_Text('RHS INPUT'!C522),CHAR(34),CHAR(44)))"),"""30Rnd_556x45_Stanag_Tracer_Red"",")</f>
        <v>"30Rnd_556x45_Stanag_Tracer_Red",</v>
      </c>
      <c r="B522" s="18" t="str">
        <f>if(isblank('RHS INPUT'!A522),,CONCATENATE("/*  ",'RHS INPUT'!A522,"  */"))</f>
        <v/>
      </c>
      <c r="C522" s="22" t="str">
        <f>if(isblank(A522),,if('RHS INPUT'!D522=1,Concatenate("class ",'RHS INPUT'!C522),))</f>
        <v>class 30Rnd_556x45_Stanag_Tracer_Red</v>
      </c>
      <c r="D522" s="27" t="str">
        <f>if(ISBLANK(A522),,if('RHS INPUT'!D522=1,CONCATENATE("{quality = ",'RHS INPUT'!G522,"; price = ",Round('RHS INPUT'!M522),";};"),""))</f>
        <v>{quality = 1; price = 60;};</v>
      </c>
      <c r="E522" t="str">
        <f>IFERROR(__xludf.DUMMYFUNCTION("if(ISBLANK(A522),, if('RHS INPUT'!E522=1,CONCATENATE(CHAR(34),To_Text('RHS INPUT'!C522),CHAR(34),CHAR(44)),""""))"),"""30Rnd_556x45_Stanag_Tracer_Red"",")</f>
        <v>"30Rnd_556x45_Stanag_Tracer_Red",</v>
      </c>
      <c r="F522" s="28" t="str">
        <f>IF(isblank(A522) ,Concatenate("&gt; ",'RHS INPUT'!A522) , if('RHS INPUT'!F522=1,CONCATENATE(round('RHS INPUT'!N522),Char(44)," ",'RHS INPUT'!C522),""))</f>
        <v>63, 30Rnd_556x45_Stanag_Tracer_Red</v>
      </c>
    </row>
    <row r="523" ht="12.0" customHeight="1">
      <c r="A523" s="1" t="str">
        <f>IFERROR(__xludf.DUMMYFUNCTION("if(ISBLANK('RHS INPUT'!C523),,CONCATENATE(CHAR(34),To_Text('RHS INPUT'!C523),CHAR(34),CHAR(44)))"),"""30Rnd_556x45_Stanag_Tracer_Yellow"",")</f>
        <v>"30Rnd_556x45_Stanag_Tracer_Yellow",</v>
      </c>
      <c r="B523" s="18" t="str">
        <f>if(isblank('RHS INPUT'!A523),,CONCATENATE("/*  ",'RHS INPUT'!A523,"  */"))</f>
        <v/>
      </c>
      <c r="C523" s="22" t="str">
        <f>if(isblank(A523),,if('RHS INPUT'!D523=1,Concatenate("class ",'RHS INPUT'!C523),))</f>
        <v>class 30Rnd_556x45_Stanag_Tracer_Yellow</v>
      </c>
      <c r="D523" s="27" t="str">
        <f>if(ISBLANK(A523),,if('RHS INPUT'!D523=1,CONCATENATE("{quality = ",'RHS INPUT'!G523,"; price = ",Round('RHS INPUT'!M523),";};"),""))</f>
        <v>{quality = 1; price = 60;};</v>
      </c>
      <c r="E523" t="str">
        <f>IFERROR(__xludf.DUMMYFUNCTION("if(ISBLANK(A523),, if('RHS INPUT'!E523=1,CONCATENATE(CHAR(34),To_Text('RHS INPUT'!C523),CHAR(34),CHAR(44)),""""))"),"""30Rnd_556x45_Stanag_Tracer_Yellow"",")</f>
        <v>"30Rnd_556x45_Stanag_Tracer_Yellow",</v>
      </c>
      <c r="F523" s="28" t="str">
        <f>IF(isblank(A523) ,Concatenate("&gt; ",'RHS INPUT'!A523) , if('RHS INPUT'!F523=1,CONCATENATE(round('RHS INPUT'!N523),Char(44)," ",'RHS INPUT'!C523),""))</f>
        <v>63, 30Rnd_556x45_Stanag_Tracer_Yellow</v>
      </c>
    </row>
    <row r="524" ht="12.0" customHeight="1">
      <c r="A524" s="1" t="str">
        <f>IFERROR(__xludf.DUMMYFUNCTION("if(ISBLANK('RHS INPUT'!C524),,CONCATENATE(CHAR(34),To_Text('RHS INPUT'!C524),CHAR(34),CHAR(44)))"),"""30Rnd_65x39_caseless_green_mag_Tracer"",")</f>
        <v>"30Rnd_65x39_caseless_green_mag_Tracer",</v>
      </c>
      <c r="B524" s="18" t="str">
        <f>if(isblank('RHS INPUT'!A524),,CONCATENATE("/*  ",'RHS INPUT'!A524,"  */"))</f>
        <v/>
      </c>
      <c r="C524" s="22" t="str">
        <f>if(isblank(A524),,if('RHS INPUT'!D524=1,Concatenate("class ",'RHS INPUT'!C524),))</f>
        <v>class 30Rnd_65x39_caseless_green_mag_Tracer</v>
      </c>
      <c r="D524" s="27" t="str">
        <f>if(ISBLANK(A524),,if('RHS INPUT'!D524=1,CONCATENATE("{quality = ",'RHS INPUT'!G524,"; price = ",Round('RHS INPUT'!M524),";};"),""))</f>
        <v>{quality = 1; price = 60;};</v>
      </c>
      <c r="E524" t="str">
        <f>IFERROR(__xludf.DUMMYFUNCTION("if(ISBLANK(A524),, if('RHS INPUT'!E524=1,CONCATENATE(CHAR(34),To_Text('RHS INPUT'!C524),CHAR(34),CHAR(44)),""""))"),"""30Rnd_65x39_caseless_green_mag_Tracer"",")</f>
        <v>"30Rnd_65x39_caseless_green_mag_Tracer",</v>
      </c>
      <c r="F524" s="28" t="str">
        <f>IF(isblank(A524) ,Concatenate("&gt; ",'RHS INPUT'!A524) , if('RHS INPUT'!F524=1,CONCATENATE(round('RHS INPUT'!N524),Char(44)," ",'RHS INPUT'!C524),""))</f>
        <v>63, 30Rnd_65x39_caseless_green_mag_Tracer</v>
      </c>
    </row>
    <row r="525" ht="12.0" customHeight="1">
      <c r="A525" s="1" t="str">
        <f>IFERROR(__xludf.DUMMYFUNCTION("if(ISBLANK('RHS INPUT'!C525),,CONCATENATE(CHAR(34),To_Text('RHS INPUT'!C525),CHAR(34),CHAR(44)))"),"""30Rnd_65x39_caseless_mag_Tracer"",")</f>
        <v>"30Rnd_65x39_caseless_mag_Tracer",</v>
      </c>
      <c r="B525" s="18" t="str">
        <f>if(isblank('RHS INPUT'!A525),,CONCATENATE("/*  ",'RHS INPUT'!A525,"  */"))</f>
        <v/>
      </c>
      <c r="C525" s="22" t="str">
        <f>if(isblank(A525),,if('RHS INPUT'!D525=1,Concatenate("class ",'RHS INPUT'!C525),))</f>
        <v>class 30Rnd_65x39_caseless_mag_Tracer</v>
      </c>
      <c r="D525" s="27" t="str">
        <f>if(ISBLANK(A525),,if('RHS INPUT'!D525=1,CONCATENATE("{quality = ",'RHS INPUT'!G525,"; price = ",Round('RHS INPUT'!M525),";};"),""))</f>
        <v>{quality = 1; price = 60;};</v>
      </c>
      <c r="E525" t="str">
        <f>IFERROR(__xludf.DUMMYFUNCTION("if(ISBLANK(A525),, if('RHS INPUT'!E525=1,CONCATENATE(CHAR(34),To_Text('RHS INPUT'!C525),CHAR(34),CHAR(44)),""""))"),"""30Rnd_65x39_caseless_mag_Tracer"",")</f>
        <v>"30Rnd_65x39_caseless_mag_Tracer",</v>
      </c>
      <c r="F525" s="28" t="str">
        <f>IF(isblank(A525) ,Concatenate("&gt; ",'RHS INPUT'!A525) , if('RHS INPUT'!F525=1,CONCATENATE(round('RHS INPUT'!N525),Char(44)," ",'RHS INPUT'!C525),""))</f>
        <v>63, 30Rnd_65x39_caseless_mag_Tracer</v>
      </c>
    </row>
    <row r="526" ht="12.0" customHeight="1">
      <c r="A526" s="1" t="str">
        <f>IFERROR(__xludf.DUMMYFUNCTION("if(ISBLANK('RHS INPUT'!C526),,CONCATENATE(CHAR(34),To_Text('RHS INPUT'!C526),CHAR(34),CHAR(44)))"),"""100Rnd_65x39_caseless_mag"",")</f>
        <v>"100Rnd_65x39_caseless_mag",</v>
      </c>
      <c r="B526" s="18" t="str">
        <f>if(isblank('RHS INPUT'!A526),,CONCATENATE("/*  ",'RHS INPUT'!A526,"  */"))</f>
        <v/>
      </c>
      <c r="C526" s="22" t="str">
        <f>if(isblank(A526),,if('RHS INPUT'!D526=1,Concatenate("class ",'RHS INPUT'!C526),))</f>
        <v>class 100Rnd_65x39_caseless_mag</v>
      </c>
      <c r="D526" s="27" t="str">
        <f>if(ISBLANK(A526),,if('RHS INPUT'!D526=1,CONCATENATE("{quality = ",'RHS INPUT'!G526,"; price = ",Round('RHS INPUT'!M526),";};"),""))</f>
        <v>{quality = 1; price = 200;};</v>
      </c>
      <c r="E526" t="str">
        <f>IFERROR(__xludf.DUMMYFUNCTION("if(ISBLANK(A526),, if('RHS INPUT'!E526=1,CONCATENATE(CHAR(34),To_Text('RHS INPUT'!C526),CHAR(34),CHAR(44)),""""))"),"""100Rnd_65x39_caseless_mag"",")</f>
        <v>"100Rnd_65x39_caseless_mag",</v>
      </c>
      <c r="F526" s="28" t="str">
        <f>IF(isblank(A526) ,Concatenate("&gt; ",'RHS INPUT'!A526) , if('RHS INPUT'!F526=1,CONCATENATE(round('RHS INPUT'!N526),Char(44)," ",'RHS INPUT'!C526),""))</f>
        <v>33, 100Rnd_65x39_caseless_mag</v>
      </c>
    </row>
    <row r="527" ht="12.0" customHeight="1">
      <c r="A527" s="1" t="str">
        <f>IFERROR(__xludf.DUMMYFUNCTION("if(ISBLANK('RHS INPUT'!C527),,CONCATENATE(CHAR(34),To_Text('RHS INPUT'!C527),CHAR(34),CHAR(44)))"),"""100Rnd_65x39_caseless_mag_Tracer"",")</f>
        <v>"100Rnd_65x39_caseless_mag_Tracer",</v>
      </c>
      <c r="B527" s="18" t="str">
        <f>if(isblank('RHS INPUT'!A527),,CONCATENATE("/*  ",'RHS INPUT'!A527,"  */"))</f>
        <v/>
      </c>
      <c r="C527" s="22" t="str">
        <f>if(isblank(A527),,if('RHS INPUT'!D527=1,Concatenate("class ",'RHS INPUT'!C527),))</f>
        <v>class 100Rnd_65x39_caseless_mag_Tracer</v>
      </c>
      <c r="D527" s="27" t="str">
        <f>if(ISBLANK(A527),,if('RHS INPUT'!D527=1,CONCATENATE("{quality = ",'RHS INPUT'!G527,"; price = ",Round('RHS INPUT'!M527),";};"),""))</f>
        <v>{quality = 1; price = 200;};</v>
      </c>
      <c r="E527" t="str">
        <f>IFERROR(__xludf.DUMMYFUNCTION("if(ISBLANK(A527),, if('RHS INPUT'!E527=1,CONCATENATE(CHAR(34),To_Text('RHS INPUT'!C527),CHAR(34),CHAR(44)),""""))"),"""100Rnd_65x39_caseless_mag_Tracer"",")</f>
        <v>"100Rnd_65x39_caseless_mag_Tracer",</v>
      </c>
      <c r="F527" s="28" t="str">
        <f>IF(isblank(A527) ,Concatenate("&gt; ",'RHS INPUT'!A527) , if('RHS INPUT'!F527=1,CONCATENATE(round('RHS INPUT'!N527),Char(44)," ",'RHS INPUT'!C527),""))</f>
        <v>33, 100Rnd_65x39_caseless_mag_Tracer</v>
      </c>
    </row>
    <row r="528" ht="12.0" customHeight="1">
      <c r="A528" s="1" t="str">
        <f>IFERROR(__xludf.DUMMYFUNCTION("if(ISBLANK('RHS INPUT'!C528),,CONCATENATE(CHAR(34),To_Text('RHS INPUT'!C528),CHAR(34),CHAR(44)))"),"""10Rnd_762x54_Mag"",")</f>
        <v>"10Rnd_762x54_Mag",</v>
      </c>
      <c r="B528" s="18" t="str">
        <f>if(isblank('RHS INPUT'!A528),,CONCATENATE("/*  ",'RHS INPUT'!A528,"  */"))</f>
        <v/>
      </c>
      <c r="C528" s="22" t="str">
        <f>if(isblank(A528),,if('RHS INPUT'!D528=1,Concatenate("class ",'RHS INPUT'!C528),))</f>
        <v>class 10Rnd_762x54_Mag</v>
      </c>
      <c r="D528" s="27" t="str">
        <f>if(ISBLANK(A528),,if('RHS INPUT'!D528=1,CONCATENATE("{quality = ",'RHS INPUT'!G528,"; price = ",Round('RHS INPUT'!M528),";};"),""))</f>
        <v>{quality = 2; price = 60;};</v>
      </c>
      <c r="E528" t="str">
        <f>IFERROR(__xludf.DUMMYFUNCTION("if(ISBLANK(A528),, if('RHS INPUT'!E528=1,CONCATENATE(CHAR(34),To_Text('RHS INPUT'!C528),CHAR(34),CHAR(44)),""""))"),"""10Rnd_762x54_Mag"",")</f>
        <v>"10Rnd_762x54_Mag",</v>
      </c>
      <c r="F528" s="28" t="str">
        <f>IF(isblank(A528) ,Concatenate("&gt; ",'RHS INPUT'!A528) , if('RHS INPUT'!F528=1,CONCATENATE(round('RHS INPUT'!N528),Char(44)," ",'RHS INPUT'!C528),""))</f>
        <v>63, 10Rnd_762x54_Mag</v>
      </c>
    </row>
    <row r="529" ht="12.0" customHeight="1">
      <c r="A529" s="1" t="str">
        <f>IFERROR(__xludf.DUMMYFUNCTION("if(ISBLANK('RHS INPUT'!C529),,CONCATENATE(CHAR(34),To_Text('RHS INPUT'!C529),CHAR(34),CHAR(44)))"),"""10Rnd_338_Mag"",")</f>
        <v>"10Rnd_338_Mag",</v>
      </c>
      <c r="B529" s="18" t="str">
        <f>if(isblank('RHS INPUT'!A529),,CONCATENATE("/*  ",'RHS INPUT'!A529,"  */"))</f>
        <v/>
      </c>
      <c r="C529" s="22" t="str">
        <f>if(isblank(A529),,if('RHS INPUT'!D529=1,Concatenate("class ",'RHS INPUT'!C529),))</f>
        <v>class 10Rnd_338_Mag</v>
      </c>
      <c r="D529" s="27" t="str">
        <f>if(ISBLANK(A529),,if('RHS INPUT'!D529=1,CONCATENATE("{quality = ",'RHS INPUT'!G529,"; price = ",Round('RHS INPUT'!M529),";};"),""))</f>
        <v>{quality = 3; price = 120;};</v>
      </c>
      <c r="E529" t="str">
        <f>IFERROR(__xludf.DUMMYFUNCTION("if(ISBLANK(A529),, if('RHS INPUT'!E529=1,CONCATENATE(CHAR(34),To_Text('RHS INPUT'!C529),CHAR(34),CHAR(44)),""""))"),"""10Rnd_338_Mag"",")</f>
        <v>"10Rnd_338_Mag",</v>
      </c>
      <c r="F529" s="28" t="str">
        <f>IF(isblank(A529) ,Concatenate("&gt; ",'RHS INPUT'!A529) , if('RHS INPUT'!F529=1,CONCATENATE(round('RHS INPUT'!N529),Char(44)," ",'RHS INPUT'!C529),""))</f>
        <v>45, 10Rnd_338_Mag</v>
      </c>
    </row>
    <row r="530" ht="12.0" customHeight="1">
      <c r="A530" s="1" t="str">
        <f>IFERROR(__xludf.DUMMYFUNCTION("if(ISBLANK('RHS INPUT'!C530),,CONCATENATE(CHAR(34),To_Text('RHS INPUT'!C530),CHAR(34),CHAR(44)))"),"""10Rnd_93x64_DMR_05_Mag"",")</f>
        <v>"10Rnd_93x64_DMR_05_Mag",</v>
      </c>
      <c r="B530" s="18" t="str">
        <f>if(isblank('RHS INPUT'!A530),,CONCATENATE("/*  ",'RHS INPUT'!A530,"  */"))</f>
        <v/>
      </c>
      <c r="C530" s="22" t="str">
        <f>if(isblank(A530),,if('RHS INPUT'!D530=1,Concatenate("class ",'RHS INPUT'!C530),))</f>
        <v>class 10Rnd_93x64_DMR_05_Mag</v>
      </c>
      <c r="D530" s="27" t="str">
        <f>if(ISBLANK(A530),,if('RHS INPUT'!D530=1,CONCATENATE("{quality = ",'RHS INPUT'!G530,"; price = ",Round('RHS INPUT'!M530),";};"),""))</f>
        <v>{quality = 3; price = 120;};</v>
      </c>
      <c r="E530" t="str">
        <f>IFERROR(__xludf.DUMMYFUNCTION("if(ISBLANK(A530),, if('RHS INPUT'!E530=1,CONCATENATE(CHAR(34),To_Text('RHS INPUT'!C530),CHAR(34),CHAR(44)),""""))"),"""10Rnd_93x64_DMR_05_Mag"",")</f>
        <v>"10Rnd_93x64_DMR_05_Mag",</v>
      </c>
      <c r="F530" s="28" t="str">
        <f>IF(isblank(A530) ,Concatenate("&gt; ",'RHS INPUT'!A530) , if('RHS INPUT'!F530=1,CONCATENATE(round('RHS INPUT'!N530),Char(44)," ",'RHS INPUT'!C530),""))</f>
        <v>45, 10Rnd_93x64_DMR_05_Mag</v>
      </c>
    </row>
    <row r="531" ht="12.0" customHeight="1">
      <c r="A531" s="1" t="str">
        <f>IFERROR(__xludf.DUMMYFUNCTION("if(ISBLANK('RHS INPUT'!C531),,CONCATENATE(CHAR(34),To_Text('RHS INPUT'!C531),CHAR(34),CHAR(44)))"),"""10Rnd_127x54_Mag"",")</f>
        <v>"10Rnd_127x54_Mag",</v>
      </c>
      <c r="B531" s="18" t="str">
        <f>if(isblank('RHS INPUT'!A531),,CONCATENATE("/*  ",'RHS INPUT'!A531,"  */"))</f>
        <v/>
      </c>
      <c r="C531" s="22" t="str">
        <f>if(isblank(A531),,if('RHS INPUT'!D531=1,Concatenate("class ",'RHS INPUT'!C531),))</f>
        <v>class 10Rnd_127x54_Mag</v>
      </c>
      <c r="D531" s="27" t="str">
        <f>if(ISBLANK(A531),,if('RHS INPUT'!D531=1,CONCATENATE("{quality = ",'RHS INPUT'!G531,"; price = ",Round('RHS INPUT'!M531),";};"),""))</f>
        <v>{quality = 3; price = 150;};</v>
      </c>
      <c r="E531" t="str">
        <f>IFERROR(__xludf.DUMMYFUNCTION("if(ISBLANK(A531),, if('RHS INPUT'!E531=1,CONCATENATE(CHAR(34),To_Text('RHS INPUT'!C531),CHAR(34),CHAR(44)),""""))"),"""10Rnd_127x54_Mag"",")</f>
        <v>"10Rnd_127x54_Mag",</v>
      </c>
      <c r="F531" s="28" t="str">
        <f>IF(isblank(A531) ,Concatenate("&gt; ",'RHS INPUT'!A531) , if('RHS INPUT'!F531=1,CONCATENATE(round('RHS INPUT'!N531),Char(44)," ",'RHS INPUT'!C531),""))</f>
        <v>40, 10Rnd_127x54_Mag</v>
      </c>
    </row>
    <row r="532" ht="12.0" customHeight="1">
      <c r="A532" s="1" t="str">
        <f>IFERROR(__xludf.DUMMYFUNCTION("if(ISBLANK('RHS INPUT'!C532),,CONCATENATE(CHAR(34),To_Text('RHS INPUT'!C532),CHAR(34),CHAR(44)))"),"""7Rnd_408_Mag"",")</f>
        <v>"7Rnd_408_Mag",</v>
      </c>
      <c r="B532" s="18" t="str">
        <f>if(isblank('RHS INPUT'!A532),,CONCATENATE("/*  ",'RHS INPUT'!A532,"  */"))</f>
        <v/>
      </c>
      <c r="C532" s="22" t="str">
        <f>if(isblank(A532),,if('RHS INPUT'!D532=1,Concatenate("class ",'RHS INPUT'!C532),))</f>
        <v>class 7Rnd_408_Mag</v>
      </c>
      <c r="D532" s="27" t="str">
        <f>if(ISBLANK(A532),,if('RHS INPUT'!D532=1,CONCATENATE("{quality = ",'RHS INPUT'!G532,"; price = ",Round('RHS INPUT'!M532),";};"),""))</f>
        <v>{quality = 3; price = 84;};</v>
      </c>
      <c r="E532" t="str">
        <f>IFERROR(__xludf.DUMMYFUNCTION("if(ISBLANK(A532),, if('RHS INPUT'!E532=1,CONCATENATE(CHAR(34),To_Text('RHS INPUT'!C532),CHAR(34),CHAR(44)),""""))"),"""7Rnd_408_Mag"",")</f>
        <v>"7Rnd_408_Mag",</v>
      </c>
      <c r="F532" s="28" t="str">
        <f>IF(isblank(A532) ,Concatenate("&gt; ",'RHS INPUT'!A532) , if('RHS INPUT'!F532=1,CONCATENATE(round('RHS INPUT'!N532),Char(44)," ",'RHS INPUT'!C532),""))</f>
        <v>54, 7Rnd_408_Mag</v>
      </c>
    </row>
    <row r="533" ht="12.0" customHeight="1">
      <c r="A533" s="1" t="str">
        <f>IFERROR(__xludf.DUMMYFUNCTION("if(ISBLANK('RHS INPUT'!C533),,CONCATENATE(CHAR(34),To_Text('RHS INPUT'!C533),CHAR(34),CHAR(44)))"),"""20Rnd_762x51_Mag"",")</f>
        <v>"20Rnd_762x51_Mag",</v>
      </c>
      <c r="B533" s="18" t="str">
        <f>if(isblank('RHS INPUT'!A533),,CONCATENATE("/*  ",'RHS INPUT'!A533,"  */"))</f>
        <v/>
      </c>
      <c r="C533" s="22" t="str">
        <f>if(isblank(A533),,if('RHS INPUT'!D533=1,Concatenate("class ",'RHS INPUT'!C533),))</f>
        <v>class 20Rnd_762x51_Mag</v>
      </c>
      <c r="D533" s="27" t="str">
        <f>if(ISBLANK(A533),,if('RHS INPUT'!D533=1,CONCATENATE("{quality = ",'RHS INPUT'!G533,"; price = ",Round('RHS INPUT'!M533),";};"),""))</f>
        <v>{quality = 2; price = 120;};</v>
      </c>
      <c r="E533" t="str">
        <f>IFERROR(__xludf.DUMMYFUNCTION("if(ISBLANK(A533),, if('RHS INPUT'!E533=1,CONCATENATE(CHAR(34),To_Text('RHS INPUT'!C533),CHAR(34),CHAR(44)),""""))"),"""20Rnd_762x51_Mag"",")</f>
        <v>"20Rnd_762x51_Mag",</v>
      </c>
      <c r="F533" s="28" t="str">
        <f>IF(isblank(A533) ,Concatenate("&gt; ",'RHS INPUT'!A533) , if('RHS INPUT'!F533=1,CONCATENATE(round('RHS INPUT'!N533),Char(44)," ",'RHS INPUT'!C533),""))</f>
        <v>45, 20Rnd_762x51_Mag</v>
      </c>
    </row>
    <row r="534" ht="12.0" customHeight="1">
      <c r="A534" s="1" t="str">
        <f>IFERROR(__xludf.DUMMYFUNCTION("if(ISBLANK('RHS INPUT'!C534),,CONCATENATE(CHAR(34),To_Text('RHS INPUT'!C534),CHAR(34),CHAR(44)))"),"""5Rnd_127x108_Mag"",")</f>
        <v>"5Rnd_127x108_Mag",</v>
      </c>
      <c r="B534" s="18" t="str">
        <f>if(isblank('RHS INPUT'!A534),,CONCATENATE("/*  ",'RHS INPUT'!A534,"  */"))</f>
        <v/>
      </c>
      <c r="C534" s="22" t="str">
        <f>if(isblank(A534),,if('RHS INPUT'!D534=1,Concatenate("class ",'RHS INPUT'!C534),))</f>
        <v>class 5Rnd_127x108_Mag</v>
      </c>
      <c r="D534" s="27" t="str">
        <f>if(ISBLANK(A534),,if('RHS INPUT'!D534=1,CONCATENATE("{quality = ",'RHS INPUT'!G534,"; price = ",Round('RHS INPUT'!M534),";};"),""))</f>
        <v>{quality = 3; price = 75;};</v>
      </c>
      <c r="E534" t="str">
        <f>IFERROR(__xludf.DUMMYFUNCTION("if(ISBLANK(A534),, if('RHS INPUT'!E534=1,CONCATENATE(CHAR(34),To_Text('RHS INPUT'!C534),CHAR(34),CHAR(44)),""""))"),"""5Rnd_127x108_Mag"",")</f>
        <v>"5Rnd_127x108_Mag",</v>
      </c>
      <c r="F534" s="28" t="str">
        <f>IF(isblank(A534) ,Concatenate("&gt; ",'RHS INPUT'!A534) , if('RHS INPUT'!F534=1,CONCATENATE(round('RHS INPUT'!N534),Char(44)," ",'RHS INPUT'!C534),""))</f>
        <v>57, 5Rnd_127x108_Mag</v>
      </c>
    </row>
    <row r="535" ht="12.0" customHeight="1">
      <c r="A535" s="1" t="str">
        <f>IFERROR(__xludf.DUMMYFUNCTION("if(ISBLANK('RHS INPUT'!C535),,CONCATENATE(CHAR(34),To_Text('RHS INPUT'!C535),CHAR(34),CHAR(44)))"),"""5Rnd_127x108_APDS_Mag"",")</f>
        <v>"5Rnd_127x108_APDS_Mag",</v>
      </c>
      <c r="B535" s="18" t="str">
        <f>if(isblank('RHS INPUT'!A535),,CONCATENATE("/*  ",'RHS INPUT'!A535,"  */"))</f>
        <v/>
      </c>
      <c r="C535" s="22" t="str">
        <f>if(isblank(A535),,if('RHS INPUT'!D535=1,Concatenate("class ",'RHS INPUT'!C535),))</f>
        <v>class 5Rnd_127x108_APDS_Mag</v>
      </c>
      <c r="D535" s="27" t="str">
        <f>if(ISBLANK(A535),,if('RHS INPUT'!D535=1,CONCATENATE("{quality = ",'RHS INPUT'!G535,"; price = ",Round('RHS INPUT'!M535),";};"),""))</f>
        <v>{quality = 3; price = 75;};</v>
      </c>
      <c r="E535" t="str">
        <f>IFERROR(__xludf.DUMMYFUNCTION("if(ISBLANK(A535),, if('RHS INPUT'!E535=1,CONCATENATE(CHAR(34),To_Text('RHS INPUT'!C535),CHAR(34),CHAR(44)),""""))"),"""5Rnd_127x108_APDS_Mag"",")</f>
        <v>"5Rnd_127x108_APDS_Mag",</v>
      </c>
      <c r="F535" s="28" t="str">
        <f>IF(isblank(A535) ,Concatenate("&gt; ",'RHS INPUT'!A535) , if('RHS INPUT'!F535=1,CONCATENATE(round('RHS INPUT'!N535),Char(44)," ",'RHS INPUT'!C535),""))</f>
        <v>57, 5Rnd_127x108_APDS_Mag</v>
      </c>
    </row>
    <row r="536" ht="12.0" customHeight="1">
      <c r="A536" s="1" t="str">
        <f>IFERROR(__xludf.DUMMYFUNCTION("if(ISBLANK('RHS INPUT'!C536),,CONCATENATE(CHAR(34),To_Text('RHS INPUT'!C536),CHAR(34),CHAR(44)))"),"""130Rnd_338_Mag"",")</f>
        <v>"130Rnd_338_Mag",</v>
      </c>
      <c r="B536" s="18" t="str">
        <f>if(isblank('RHS INPUT'!A536),,CONCATENATE("/*  ",'RHS INPUT'!A536,"  */"))</f>
        <v/>
      </c>
      <c r="C536" s="22" t="str">
        <f>if(isblank(A536),,if('RHS INPUT'!D536=1,Concatenate("class ",'RHS INPUT'!C536),))</f>
        <v>class 130Rnd_338_Mag</v>
      </c>
      <c r="D536" s="27" t="str">
        <f>if(ISBLANK(A536),,if('RHS INPUT'!D536=1,CONCATENATE("{quality = ",'RHS INPUT'!G536,"; price = ",Round('RHS INPUT'!M536),";};"),""))</f>
        <v>{quality = 2; price = 1040;};</v>
      </c>
      <c r="E536" t="str">
        <f>IFERROR(__xludf.DUMMYFUNCTION("if(ISBLANK(A536),, if('RHS INPUT'!E536=1,CONCATENATE(CHAR(34),To_Text('RHS INPUT'!C536),CHAR(34),CHAR(44)),""""))"),"""130Rnd_338_Mag"",")</f>
        <v>"130Rnd_338_Mag",</v>
      </c>
      <c r="F536" s="28" t="str">
        <f>IF(isblank(A536) ,Concatenate("&gt; ",'RHS INPUT'!A536) , if('RHS INPUT'!F536=1,CONCATENATE(round('RHS INPUT'!N536),Char(44)," ",'RHS INPUT'!C536),""))</f>
        <v>9, 130Rnd_338_Mag</v>
      </c>
    </row>
    <row r="537" ht="12.0" customHeight="1">
      <c r="A537" s="1" t="str">
        <f>IFERROR(__xludf.DUMMYFUNCTION("if(ISBLANK('RHS INPUT'!C537),,CONCATENATE(CHAR(34),To_Text('RHS INPUT'!C537),CHAR(34),CHAR(44)))"),"""150Rnd_762x54_Box"",")</f>
        <v>"150Rnd_762x54_Box",</v>
      </c>
      <c r="B537" s="18" t="str">
        <f>if(isblank('RHS INPUT'!A537),,CONCATENATE("/*  ",'RHS INPUT'!A537,"  */"))</f>
        <v/>
      </c>
      <c r="C537" s="22" t="str">
        <f>if(isblank(A537),,if('RHS INPUT'!D537=1,Concatenate("class ",'RHS INPUT'!C537),))</f>
        <v>class 150Rnd_762x54_Box</v>
      </c>
      <c r="D537" s="27" t="str">
        <f>if(ISBLANK(A537),,if('RHS INPUT'!D537=1,CONCATENATE("{quality = ",'RHS INPUT'!G537,"; price = ",Round('RHS INPUT'!M537),";};"),""))</f>
        <v>{quality = 2; price = 900;};</v>
      </c>
      <c r="E537" t="str">
        <f>IFERROR(__xludf.DUMMYFUNCTION("if(ISBLANK(A537),, if('RHS INPUT'!E537=1,CONCATENATE(CHAR(34),To_Text('RHS INPUT'!C537),CHAR(34),CHAR(44)),""""))"),"""150Rnd_762x54_Box"",")</f>
        <v>"150Rnd_762x54_Box",</v>
      </c>
      <c r="F537" s="28" t="str">
        <f>IF(isblank(A537) ,Concatenate("&gt; ",'RHS INPUT'!A537) , if('RHS INPUT'!F537=1,CONCATENATE(round('RHS INPUT'!N537),Char(44)," ",'RHS INPUT'!C537),""))</f>
        <v>10, 150Rnd_762x54_Box</v>
      </c>
    </row>
    <row r="538" ht="12.0" customHeight="1">
      <c r="A538" s="1" t="str">
        <f>IFERROR(__xludf.DUMMYFUNCTION("if(ISBLANK('RHS INPUT'!C538),,CONCATENATE(CHAR(34),To_Text('RHS INPUT'!C538),CHAR(34),CHAR(44)))"),"""150Rnd_93x64_Mag"",")</f>
        <v>"150Rnd_93x64_Mag",</v>
      </c>
      <c r="B538" s="18" t="str">
        <f>if(isblank('RHS INPUT'!A538),,CONCATENATE("/*  ",'RHS INPUT'!A538,"  */"))</f>
        <v/>
      </c>
      <c r="C538" s="22" t="str">
        <f>if(isblank(A538),,if('RHS INPUT'!D538=1,Concatenate("class ",'RHS INPUT'!C538),))</f>
        <v>class 150Rnd_93x64_Mag</v>
      </c>
      <c r="D538" s="27" t="str">
        <f>if(ISBLANK(A538),,if('RHS INPUT'!D538=1,CONCATENATE("{quality = ",'RHS INPUT'!G538,"; price = ",Round('RHS INPUT'!M538),";};"),""))</f>
        <v>{quality = 2; price = 1200;};</v>
      </c>
      <c r="E538" t="str">
        <f>IFERROR(__xludf.DUMMYFUNCTION("if(ISBLANK(A538),, if('RHS INPUT'!E538=1,CONCATENATE(CHAR(34),To_Text('RHS INPUT'!C538),CHAR(34),CHAR(44)),""""))"),"""150Rnd_93x64_Mag"",")</f>
        <v>"150Rnd_93x64_Mag",</v>
      </c>
      <c r="F538" s="28" t="str">
        <f>IF(isblank(A538) ,Concatenate("&gt; ",'RHS INPUT'!A538) , if('RHS INPUT'!F538=1,CONCATENATE(round('RHS INPUT'!N538),Char(44)," ",'RHS INPUT'!C538),""))</f>
        <v>8, 150Rnd_93x64_Mag</v>
      </c>
    </row>
    <row r="539" ht="12.0" customHeight="1">
      <c r="A539" s="1" t="str">
        <f>IFERROR(__xludf.DUMMYFUNCTION("if(ISBLANK('RHS INPUT'!C539),,CONCATENATE(CHAR(34),To_Text('RHS INPUT'!C539),CHAR(34),CHAR(44)))"),"""150Rnd_762x54_Box_Tracer"",")</f>
        <v>"150Rnd_762x54_Box_Tracer",</v>
      </c>
      <c r="B539" s="18" t="str">
        <f>if(isblank('RHS INPUT'!A539),,CONCATENATE("/*  ",'RHS INPUT'!A539,"  */"))</f>
        <v/>
      </c>
      <c r="C539" s="22" t="str">
        <f>if(isblank(A539),,if('RHS INPUT'!D539=1,Concatenate("class ",'RHS INPUT'!C539),))</f>
        <v>class 150Rnd_762x54_Box_Tracer</v>
      </c>
      <c r="D539" s="27" t="str">
        <f>if(ISBLANK(A539),,if('RHS INPUT'!D539=1,CONCATENATE("{quality = ",'RHS INPUT'!G539,"; price = ",Round('RHS INPUT'!M539),";};"),""))</f>
        <v>{quality = 2; price = 900;};</v>
      </c>
      <c r="E539" t="str">
        <f>IFERROR(__xludf.DUMMYFUNCTION("if(ISBLANK(A539),, if('RHS INPUT'!E539=1,CONCATENATE(CHAR(34),To_Text('RHS INPUT'!C539),CHAR(34),CHAR(44)),""""))"),"""150Rnd_762x54_Box_Tracer"",")</f>
        <v>"150Rnd_762x54_Box_Tracer",</v>
      </c>
      <c r="F539" s="28" t="str">
        <f>IF(isblank(A539) ,Concatenate("&gt; ",'RHS INPUT'!A539) , if('RHS INPUT'!F539=1,CONCATENATE(round('RHS INPUT'!N539),Char(44)," ",'RHS INPUT'!C539),""))</f>
        <v>10, 150Rnd_762x54_Box_Tracer</v>
      </c>
    </row>
    <row r="540" ht="12.0" customHeight="1">
      <c r="A540" s="1" t="str">
        <f>IFERROR(__xludf.DUMMYFUNCTION("if(ISBLANK('RHS INPUT'!C540),,CONCATENATE(CHAR(34),To_Text('RHS INPUT'!C540),CHAR(34),CHAR(44)))"),"""200Rnd_65x39_cased_Box"",")</f>
        <v>"200Rnd_65x39_cased_Box",</v>
      </c>
      <c r="B540" s="18" t="str">
        <f>if(isblank('RHS INPUT'!A540),,CONCATENATE("/*  ",'RHS INPUT'!A540,"  */"))</f>
        <v/>
      </c>
      <c r="C540" s="22" t="str">
        <f>if(isblank(A540),,if('RHS INPUT'!D540=1,Concatenate("class ",'RHS INPUT'!C540),))</f>
        <v>class 200Rnd_65x39_cased_Box</v>
      </c>
      <c r="D540" s="27" t="str">
        <f>if(ISBLANK(A540),,if('RHS INPUT'!D540=1,CONCATENATE("{quality = ",'RHS INPUT'!G540,"; price = ",Round('RHS INPUT'!M540),";};"),""))</f>
        <v>{quality = 2; price = 800;};</v>
      </c>
      <c r="E540" t="str">
        <f>IFERROR(__xludf.DUMMYFUNCTION("if(ISBLANK(A540),, if('RHS INPUT'!E540=1,CONCATENATE(CHAR(34),To_Text('RHS INPUT'!C540),CHAR(34),CHAR(44)),""""))"),"""200Rnd_65x39_cased_Box"",")</f>
        <v>"200Rnd_65x39_cased_Box",</v>
      </c>
      <c r="F540" s="28" t="str">
        <f>IF(isblank(A540) ,Concatenate("&gt; ",'RHS INPUT'!A540) , if('RHS INPUT'!F540=1,CONCATENATE(round('RHS INPUT'!N540),Char(44)," ",'RHS INPUT'!C540),""))</f>
        <v>11, 200Rnd_65x39_cased_Box</v>
      </c>
    </row>
    <row r="541" ht="12.0" customHeight="1">
      <c r="A541" s="1" t="str">
        <f>IFERROR(__xludf.DUMMYFUNCTION("if(ISBLANK('RHS INPUT'!C541),,CONCATENATE(CHAR(34),To_Text('RHS INPUT'!C541),CHAR(34),CHAR(44)))"),"""200Rnd_65x39_cased_Box_Tracer"",")</f>
        <v>"200Rnd_65x39_cased_Box_Tracer",</v>
      </c>
      <c r="B541" s="18" t="str">
        <f>if(isblank('RHS INPUT'!A541),,CONCATENATE("/*  ",'RHS INPUT'!A541,"  */"))</f>
        <v/>
      </c>
      <c r="C541" s="22" t="str">
        <f>if(isblank(A541),,if('RHS INPUT'!D541=1,Concatenate("class ",'RHS INPUT'!C541),))</f>
        <v>class 200Rnd_65x39_cased_Box_Tracer</v>
      </c>
      <c r="D541" s="27" t="str">
        <f>if(ISBLANK(A541),,if('RHS INPUT'!D541=1,CONCATENATE("{quality = ",'RHS INPUT'!G541,"; price = ",Round('RHS INPUT'!M541),";};"),""))</f>
        <v>{quality = 2; price = 800;};</v>
      </c>
      <c r="E541" t="str">
        <f>IFERROR(__xludf.DUMMYFUNCTION("if(ISBLANK(A541),, if('RHS INPUT'!E541=1,CONCATENATE(CHAR(34),To_Text('RHS INPUT'!C541),CHAR(34),CHAR(44)),""""))"),"""200Rnd_65x39_cased_Box_Tracer"",")</f>
        <v>"200Rnd_65x39_cased_Box_Tracer",</v>
      </c>
      <c r="F541" s="28" t="str">
        <f>IF(isblank(A541) ,Concatenate("&gt; ",'RHS INPUT'!A541) , if('RHS INPUT'!F541=1,CONCATENATE(round('RHS INPUT'!N541),Char(44)," ",'RHS INPUT'!C541),""))</f>
        <v>11, 200Rnd_65x39_cased_Box_Tracer</v>
      </c>
    </row>
    <row r="542" ht="12.0" customHeight="1">
      <c r="A542" s="1" t="str">
        <f>IFERROR(__xludf.DUMMYFUNCTION("if(ISBLANK('RHS INPUT'!C542),,CONCATENATE(CHAR(34),To_Text('RHS INPUT'!C542),CHAR(34),CHAR(44)))"),"""rhs_30Rnd_762x39mm"",")</f>
        <v>"rhs_30Rnd_762x39mm",</v>
      </c>
      <c r="B542" s="18" t="str">
        <f>if(isblank('RHS INPUT'!A542),,CONCATENATE("/*  ",'RHS INPUT'!A542,"  */"))</f>
        <v/>
      </c>
      <c r="C542" s="22" t="str">
        <f>if(isblank(A542),,if('RHS INPUT'!D542=1,Concatenate("class ",'RHS INPUT'!C542),))</f>
        <v>class rhs_30Rnd_762x39mm</v>
      </c>
      <c r="D542" s="27" t="str">
        <f>if(ISBLANK(A542),,if('RHS INPUT'!D542=1,CONCATENATE("{quality = ",'RHS INPUT'!G542,"; price = ",Round('RHS INPUT'!M542),";};"),""))</f>
        <v>{quality = 1; price = 90;};</v>
      </c>
      <c r="E542" t="str">
        <f>IFERROR(__xludf.DUMMYFUNCTION("if(ISBLANK(A542),, if('RHS INPUT'!E542=1,CONCATENATE(CHAR(34),To_Text('RHS INPUT'!C542),CHAR(34),CHAR(44)),""""))"),"""rhs_30Rnd_762x39mm"",")</f>
        <v>"rhs_30Rnd_762x39mm",</v>
      </c>
      <c r="F542" s="28" t="str">
        <f>IF(isblank(A542) ,Concatenate("&gt; ",'RHS INPUT'!A542) , if('RHS INPUT'!F542=1,CONCATENATE(round('RHS INPUT'!N542),Char(44)," ",'RHS INPUT'!C542),""))</f>
        <v>53, rhs_30Rnd_762x39mm</v>
      </c>
    </row>
    <row r="543" ht="12.0" customHeight="1">
      <c r="A543" s="1" t="str">
        <f>IFERROR(__xludf.DUMMYFUNCTION("if(ISBLANK('RHS INPUT'!C543),,CONCATENATE(CHAR(34),To_Text('RHS INPUT'!C543),CHAR(34),CHAR(44)))"),"""rhs_30Rnd_762x39mm_tracer"",")</f>
        <v>"rhs_30Rnd_762x39mm_tracer",</v>
      </c>
      <c r="B543" s="18" t="str">
        <f>if(isblank('RHS INPUT'!A543),,CONCATENATE("/*  ",'RHS INPUT'!A543,"  */"))</f>
        <v/>
      </c>
      <c r="C543" s="22" t="str">
        <f>if(isblank(A543),,if('RHS INPUT'!D543=1,Concatenate("class ",'RHS INPUT'!C543),))</f>
        <v>class rhs_30Rnd_762x39mm_tracer</v>
      </c>
      <c r="D543" s="27" t="str">
        <f>if(ISBLANK(A543),,if('RHS INPUT'!D543=1,CONCATENATE("{quality = ",'RHS INPUT'!G543,"; price = ",Round('RHS INPUT'!M543),";};"),""))</f>
        <v>{quality = 1; price = 90;};</v>
      </c>
      <c r="E543" t="str">
        <f>IFERROR(__xludf.DUMMYFUNCTION("if(ISBLANK(A543),, if('RHS INPUT'!E543=1,CONCATENATE(CHAR(34),To_Text('RHS INPUT'!C543),CHAR(34),CHAR(44)),""""))"),"""rhs_30Rnd_762x39mm_tracer"",")</f>
        <v>"rhs_30Rnd_762x39mm_tracer",</v>
      </c>
      <c r="F543" s="28" t="str">
        <f>IF(isblank(A543) ,Concatenate("&gt; ",'RHS INPUT'!A543) , if('RHS INPUT'!F543=1,CONCATENATE(round('RHS INPUT'!N543),Char(44)," ",'RHS INPUT'!C543),""))</f>
        <v>53, rhs_30Rnd_762x39mm_tracer</v>
      </c>
    </row>
    <row r="544" ht="12.0" customHeight="1">
      <c r="A544" s="1" t="str">
        <f>IFERROR(__xludf.DUMMYFUNCTION("if(ISBLANK('RHS INPUT'!C544),,CONCATENATE(CHAR(34),To_Text('RHS INPUT'!C544),CHAR(34),CHAR(44)))"),"""rhs_30Rnd_762x39mm_89"",")</f>
        <v>"rhs_30Rnd_762x39mm_89",</v>
      </c>
      <c r="B544" s="18" t="str">
        <f>if(isblank('RHS INPUT'!A544),,CONCATENATE("/*  ",'RHS INPUT'!A544,"  */"))</f>
        <v/>
      </c>
      <c r="C544" s="22" t="str">
        <f>if(isblank(A544),,if('RHS INPUT'!D544=1,Concatenate("class ",'RHS INPUT'!C544),))</f>
        <v>class rhs_30Rnd_762x39mm_89</v>
      </c>
      <c r="D544" s="27" t="str">
        <f>if(ISBLANK(A544),,if('RHS INPUT'!D544=1,CONCATENATE("{quality = ",'RHS INPUT'!G544,"; price = ",Round('RHS INPUT'!M544),";};"),""))</f>
        <v>{quality = 1; price = 90;};</v>
      </c>
      <c r="E544" t="str">
        <f>IFERROR(__xludf.DUMMYFUNCTION("if(ISBLANK(A544),, if('RHS INPUT'!E544=1,CONCATENATE(CHAR(34),To_Text('RHS INPUT'!C544),CHAR(34),CHAR(44)),""""))"),"""rhs_30Rnd_762x39mm_89"",")</f>
        <v>"rhs_30Rnd_762x39mm_89",</v>
      </c>
      <c r="F544" s="28" t="str">
        <f>IF(isblank(A544) ,Concatenate("&gt; ",'RHS INPUT'!A544) , if('RHS INPUT'!F544=1,CONCATENATE(round('RHS INPUT'!N544),Char(44)," ",'RHS INPUT'!C544),""))</f>
        <v>53, rhs_30Rnd_762x39mm_89</v>
      </c>
    </row>
    <row r="545" ht="12.0" customHeight="1">
      <c r="A545" s="1" t="str">
        <f>IFERROR(__xludf.DUMMYFUNCTION("if(ISBLANK('RHS INPUT'!C545),,CONCATENATE(CHAR(34),To_Text('RHS INPUT'!C545),CHAR(34),CHAR(44)))"),"""rhs_30Rnd_545x39_AK"",")</f>
        <v>"rhs_30Rnd_545x39_AK",</v>
      </c>
      <c r="B545" s="18" t="str">
        <f>if(isblank('RHS INPUT'!A545),,CONCATENATE("/*  ",'RHS INPUT'!A545,"  */"))</f>
        <v/>
      </c>
      <c r="C545" s="22" t="str">
        <f>if(isblank(A545),,if('RHS INPUT'!D545=1,Concatenate("class ",'RHS INPUT'!C545),))</f>
        <v>class rhs_30Rnd_545x39_AK</v>
      </c>
      <c r="D545" s="27" t="str">
        <f>if(ISBLANK(A545),,if('RHS INPUT'!D545=1,CONCATENATE("{quality = ",'RHS INPUT'!G545,"; price = ",Round('RHS INPUT'!M545),";};"),""))</f>
        <v>{quality = 1; price = 60;};</v>
      </c>
      <c r="E545" t="str">
        <f>IFERROR(__xludf.DUMMYFUNCTION("if(ISBLANK(A545),, if('RHS INPUT'!E545=1,CONCATENATE(CHAR(34),To_Text('RHS INPUT'!C545),CHAR(34),CHAR(44)),""""))"),"""rhs_30Rnd_545x39_AK"",")</f>
        <v>"rhs_30Rnd_545x39_AK",</v>
      </c>
      <c r="F545" s="28" t="str">
        <f>IF(isblank(A545) ,Concatenate("&gt; ",'RHS INPUT'!A545) , if('RHS INPUT'!F545=1,CONCATENATE(round('RHS INPUT'!N545),Char(44)," ",'RHS INPUT'!C545),""))</f>
        <v>63, rhs_30Rnd_545x39_AK</v>
      </c>
    </row>
    <row r="546" ht="12.0" customHeight="1">
      <c r="A546" s="1" t="str">
        <f>IFERROR(__xludf.DUMMYFUNCTION("if(ISBLANK('RHS INPUT'!C546),,CONCATENATE(CHAR(34),To_Text('RHS INPUT'!C546),CHAR(34),CHAR(44)))"),"""rhs_30Rnd_545x39_AK_no_tracers"",")</f>
        <v>"rhs_30Rnd_545x39_AK_no_tracers",</v>
      </c>
      <c r="B546" s="18" t="str">
        <f>if(isblank('RHS INPUT'!A546),,CONCATENATE("/*  ",'RHS INPUT'!A546,"  */"))</f>
        <v/>
      </c>
      <c r="C546" s="22" t="str">
        <f>if(isblank(A546),,if('RHS INPUT'!D546=1,Concatenate("class ",'RHS INPUT'!C546),))</f>
        <v>class rhs_30Rnd_545x39_AK_no_tracers</v>
      </c>
      <c r="D546" s="27" t="str">
        <f>if(ISBLANK(A546),,if('RHS INPUT'!D546=1,CONCATENATE("{quality = ",'RHS INPUT'!G546,"; price = ",Round('RHS INPUT'!M546),";};"),""))</f>
        <v>{quality = 1; price = 60;};</v>
      </c>
      <c r="E546" t="str">
        <f>IFERROR(__xludf.DUMMYFUNCTION("if(ISBLANK(A546),, if('RHS INPUT'!E546=1,CONCATENATE(CHAR(34),To_Text('RHS INPUT'!C546),CHAR(34),CHAR(44)),""""))"),"""rhs_30Rnd_545x39_AK_no_tracers"",")</f>
        <v>"rhs_30Rnd_545x39_AK_no_tracers",</v>
      </c>
      <c r="F546" s="28" t="str">
        <f>IF(isblank(A546) ,Concatenate("&gt; ",'RHS INPUT'!A546) , if('RHS INPUT'!F546=1,CONCATENATE(round('RHS INPUT'!N546),Char(44)," ",'RHS INPUT'!C546),""))</f>
        <v>63, rhs_30Rnd_545x39_AK_no_tracers</v>
      </c>
    </row>
    <row r="547" ht="12.0" customHeight="1">
      <c r="A547" s="1" t="str">
        <f>IFERROR(__xludf.DUMMYFUNCTION("if(ISBLANK('RHS INPUT'!C547),,CONCATENATE(CHAR(34),To_Text('RHS INPUT'!C547),CHAR(34),CHAR(44)))"),"""rhs_30Rnd_545x39_AK_green"",")</f>
        <v>"rhs_30Rnd_545x39_AK_green",</v>
      </c>
      <c r="B547" s="18" t="str">
        <f>if(isblank('RHS INPUT'!A547),,CONCATENATE("/*  ",'RHS INPUT'!A547,"  */"))</f>
        <v/>
      </c>
      <c r="C547" s="22" t="str">
        <f>if(isblank(A547),,if('RHS INPUT'!D547=1,Concatenate("class ",'RHS INPUT'!C547),))</f>
        <v>class rhs_30Rnd_545x39_AK_green</v>
      </c>
      <c r="D547" s="27" t="str">
        <f>if(ISBLANK(A547),,if('RHS INPUT'!D547=1,CONCATENATE("{quality = ",'RHS INPUT'!G547,"; price = ",Round('RHS INPUT'!M547),";};"),""))</f>
        <v>{quality = 1; price = 60;};</v>
      </c>
      <c r="E547" t="str">
        <f>IFERROR(__xludf.DUMMYFUNCTION("if(ISBLANK(A547),, if('RHS INPUT'!E547=1,CONCATENATE(CHAR(34),To_Text('RHS INPUT'!C547),CHAR(34),CHAR(44)),""""))"),"""rhs_30Rnd_545x39_AK_green"",")</f>
        <v>"rhs_30Rnd_545x39_AK_green",</v>
      </c>
      <c r="F547" s="28" t="str">
        <f>IF(isblank(A547) ,Concatenate("&gt; ",'RHS INPUT'!A547) , if('RHS INPUT'!F547=1,CONCATENATE(round('RHS INPUT'!N547),Char(44)," ",'RHS INPUT'!C547),""))</f>
        <v>63, rhs_30Rnd_545x39_AK_green</v>
      </c>
    </row>
    <row r="548" ht="12.0" customHeight="1">
      <c r="A548" s="1" t="str">
        <f>IFERROR(__xludf.DUMMYFUNCTION("if(ISBLANK('RHS INPUT'!C548),,CONCATENATE(CHAR(34),To_Text('RHS INPUT'!C548),CHAR(34),CHAR(44)))"),"""rhs_30Rnd_545x39_7N10_AK"",")</f>
        <v>"rhs_30Rnd_545x39_7N10_AK",</v>
      </c>
      <c r="B548" s="18" t="str">
        <f>if(isblank('RHS INPUT'!A548),,CONCATENATE("/*  ",'RHS INPUT'!A548,"  */"))</f>
        <v/>
      </c>
      <c r="C548" s="22" t="str">
        <f>if(isblank(A548),,if('RHS INPUT'!D548=1,Concatenate("class ",'RHS INPUT'!C548),))</f>
        <v>class rhs_30Rnd_545x39_7N10_AK</v>
      </c>
      <c r="D548" s="27" t="str">
        <f>if(ISBLANK(A548),,if('RHS INPUT'!D548=1,CONCATENATE("{quality = ",'RHS INPUT'!G548,"; price = ",Round('RHS INPUT'!M548),";};"),""))</f>
        <v>{quality = 1; price = 60;};</v>
      </c>
      <c r="E548" t="str">
        <f>IFERROR(__xludf.DUMMYFUNCTION("if(ISBLANK(A548),, if('RHS INPUT'!E548=1,CONCATENATE(CHAR(34),To_Text('RHS INPUT'!C548),CHAR(34),CHAR(44)),""""))"),"""rhs_30Rnd_545x39_7N10_AK"",")</f>
        <v>"rhs_30Rnd_545x39_7N10_AK",</v>
      </c>
      <c r="F548" s="28" t="str">
        <f>IF(isblank(A548) ,Concatenate("&gt; ",'RHS INPUT'!A548) , if('RHS INPUT'!F548=1,CONCATENATE(round('RHS INPUT'!N548),Char(44)," ",'RHS INPUT'!C548),""))</f>
        <v>63, rhs_30Rnd_545x39_7N10_AK</v>
      </c>
    </row>
    <row r="549" ht="12.0" customHeight="1">
      <c r="A549" s="1" t="str">
        <f>IFERROR(__xludf.DUMMYFUNCTION("if(ISBLANK('RHS INPUT'!C549),,CONCATENATE(CHAR(34),To_Text('RHS INPUT'!C549),CHAR(34),CHAR(44)))"),"""rhs_30Rnd_545x39_7N22_AK"",")</f>
        <v>"rhs_30Rnd_545x39_7N22_AK",</v>
      </c>
      <c r="B549" s="18" t="str">
        <f>if(isblank('RHS INPUT'!A549),,CONCATENATE("/*  ",'RHS INPUT'!A549,"  */"))</f>
        <v/>
      </c>
      <c r="C549" s="22" t="str">
        <f>if(isblank(A549),,if('RHS INPUT'!D549=1,Concatenate("class ",'RHS INPUT'!C549),))</f>
        <v>class rhs_30Rnd_545x39_7N22_AK</v>
      </c>
      <c r="D549" s="27" t="str">
        <f>if(ISBLANK(A549),,if('RHS INPUT'!D549=1,CONCATENATE("{quality = ",'RHS INPUT'!G549,"; price = ",Round('RHS INPUT'!M549),";};"),""))</f>
        <v>{quality = 1; price = 60;};</v>
      </c>
      <c r="E549" t="str">
        <f>IFERROR(__xludf.DUMMYFUNCTION("if(ISBLANK(A549),, if('RHS INPUT'!E549=1,CONCATENATE(CHAR(34),To_Text('RHS INPUT'!C549),CHAR(34),CHAR(44)),""""))"),"""rhs_30Rnd_545x39_7N22_AK"",")</f>
        <v>"rhs_30Rnd_545x39_7N22_AK",</v>
      </c>
      <c r="F549" s="28" t="str">
        <f>IF(isblank(A549) ,Concatenate("&gt; ",'RHS INPUT'!A549) , if('RHS INPUT'!F549=1,CONCATENATE(round('RHS INPUT'!N549),Char(44)," ",'RHS INPUT'!C549),""))</f>
        <v>63, rhs_30Rnd_545x39_7N22_AK</v>
      </c>
    </row>
    <row r="550" ht="12.0" customHeight="1">
      <c r="A550" s="1" t="str">
        <f>IFERROR(__xludf.DUMMYFUNCTION("if(ISBLANK('RHS INPUT'!C550),,CONCATENATE(CHAR(34),To_Text('RHS INPUT'!C550),CHAR(34),CHAR(44)))"),"""rhs_45Rnd_545X39_AK"",")</f>
        <v>"rhs_45Rnd_545X39_AK",</v>
      </c>
      <c r="B550" s="18" t="str">
        <f>if(isblank('RHS INPUT'!A550),,CONCATENATE("/*  ",'RHS INPUT'!A550,"  */"))</f>
        <v/>
      </c>
      <c r="C550" s="22" t="str">
        <f>if(isblank(A550),,if('RHS INPUT'!D550=1,Concatenate("class ",'RHS INPUT'!C550),))</f>
        <v>class rhs_45Rnd_545X39_AK</v>
      </c>
      <c r="D550" s="27" t="str">
        <f>if(ISBLANK(A550),,if('RHS INPUT'!D550=1,CONCATENATE("{quality = ",'RHS INPUT'!G550,"; price = ",Round('RHS INPUT'!M550),";};"),""))</f>
        <v>{quality = 1; price = 90;};</v>
      </c>
      <c r="E550" t="str">
        <f>IFERROR(__xludf.DUMMYFUNCTION("if(ISBLANK(A550),, if('RHS INPUT'!E550=1,CONCATENATE(CHAR(34),To_Text('RHS INPUT'!C550),CHAR(34),CHAR(44)),""""))"),"""rhs_45Rnd_545X39_AK"",")</f>
        <v>"rhs_45Rnd_545X39_AK",</v>
      </c>
      <c r="F550" s="28" t="str">
        <f>IF(isblank(A550) ,Concatenate("&gt; ",'RHS INPUT'!A550) , if('RHS INPUT'!F550=1,CONCATENATE(round('RHS INPUT'!N550),Char(44)," ",'RHS INPUT'!C550),""))</f>
        <v>53, rhs_45Rnd_545X39_AK</v>
      </c>
    </row>
    <row r="551" ht="12.0" customHeight="1">
      <c r="A551" s="1" t="str">
        <f>IFERROR(__xludf.DUMMYFUNCTION("if(ISBLANK('RHS INPUT'!C551),,CONCATENATE(CHAR(34),To_Text('RHS INPUT'!C551),CHAR(34),CHAR(44)))"),"""rhs_45Rnd_545X39_AK_Green"",")</f>
        <v>"rhs_45Rnd_545X39_AK_Green",</v>
      </c>
      <c r="B551" s="18" t="str">
        <f>if(isblank('RHS INPUT'!A551),,CONCATENATE("/*  ",'RHS INPUT'!A551,"  */"))</f>
        <v/>
      </c>
      <c r="C551" s="22" t="str">
        <f>if(isblank(A551),,if('RHS INPUT'!D551=1,Concatenate("class ",'RHS INPUT'!C551),))</f>
        <v>class rhs_45Rnd_545X39_AK_Green</v>
      </c>
      <c r="D551" s="27" t="str">
        <f>if(ISBLANK(A551),,if('RHS INPUT'!D551=1,CONCATENATE("{quality = ",'RHS INPUT'!G551,"; price = ",Round('RHS INPUT'!M551),";};"),""))</f>
        <v>{quality = 1; price = 90;};</v>
      </c>
      <c r="E551" t="str">
        <f>IFERROR(__xludf.DUMMYFUNCTION("if(ISBLANK(A551),, if('RHS INPUT'!E551=1,CONCATENATE(CHAR(34),To_Text('RHS INPUT'!C551),CHAR(34),CHAR(44)),""""))"),"""rhs_45Rnd_545X39_AK_Green"",")</f>
        <v>"rhs_45Rnd_545X39_AK_Green",</v>
      </c>
      <c r="F551" s="28" t="str">
        <f>IF(isblank(A551) ,Concatenate("&gt; ",'RHS INPUT'!A551) , if('RHS INPUT'!F551=1,CONCATENATE(round('RHS INPUT'!N551),Char(44)," ",'RHS INPUT'!C551),""))</f>
        <v>53, rhs_45Rnd_545X39_AK_Green</v>
      </c>
    </row>
    <row r="552" ht="12.0" customHeight="1">
      <c r="A552" s="1" t="str">
        <f>IFERROR(__xludf.DUMMYFUNCTION("if(ISBLANK('RHS INPUT'!C552),,CONCATENATE(CHAR(34),To_Text('RHS INPUT'!C552),CHAR(34),CHAR(44)))"),"""rhs_45Rnd_545X39_7N10_AK"",")</f>
        <v>"rhs_45Rnd_545X39_7N10_AK",</v>
      </c>
      <c r="B552" s="18" t="str">
        <f>if(isblank('RHS INPUT'!A552),,CONCATENATE("/*  ",'RHS INPUT'!A552,"  */"))</f>
        <v/>
      </c>
      <c r="C552" s="22" t="str">
        <f>if(isblank(A552),,if('RHS INPUT'!D552=1,Concatenate("class ",'RHS INPUT'!C552),))</f>
        <v>class rhs_45Rnd_545X39_7N10_AK</v>
      </c>
      <c r="D552" s="27" t="str">
        <f>if(ISBLANK(A552),,if('RHS INPUT'!D552=1,CONCATENATE("{quality = ",'RHS INPUT'!G552,"; price = ",Round('RHS INPUT'!M552),";};"),""))</f>
        <v>{quality = 1; price = 90;};</v>
      </c>
      <c r="E552" t="str">
        <f>IFERROR(__xludf.DUMMYFUNCTION("if(ISBLANK(A552),, if('RHS INPUT'!E552=1,CONCATENATE(CHAR(34),To_Text('RHS INPUT'!C552),CHAR(34),CHAR(44)),""""))"),"""rhs_45Rnd_545X39_7N10_AK"",")</f>
        <v>"rhs_45Rnd_545X39_7N10_AK",</v>
      </c>
      <c r="F552" s="28" t="str">
        <f>IF(isblank(A552) ,Concatenate("&gt; ",'RHS INPUT'!A552) , if('RHS INPUT'!F552=1,CONCATENATE(round('RHS INPUT'!N552),Char(44)," ",'RHS INPUT'!C552),""))</f>
        <v>53, rhs_45Rnd_545X39_7N10_AK</v>
      </c>
    </row>
    <row r="553" ht="12.0" customHeight="1">
      <c r="A553" s="1" t="str">
        <f>IFERROR(__xludf.DUMMYFUNCTION("if(ISBLANK('RHS INPUT'!C553),,CONCATENATE(CHAR(34),To_Text('RHS INPUT'!C553),CHAR(34),CHAR(44)))"),"""rhs_45Rnd_545X39_7N22_AK"",")</f>
        <v>"rhs_45Rnd_545X39_7N22_AK",</v>
      </c>
      <c r="B553" s="18" t="str">
        <f>if(isblank('RHS INPUT'!A553),,CONCATENATE("/*  ",'RHS INPUT'!A553,"  */"))</f>
        <v/>
      </c>
      <c r="C553" s="22" t="str">
        <f>if(isblank(A553),,if('RHS INPUT'!D553=1,Concatenate("class ",'RHS INPUT'!C553),))</f>
        <v>class rhs_45Rnd_545X39_7N22_AK</v>
      </c>
      <c r="D553" s="27" t="str">
        <f>if(ISBLANK(A553),,if('RHS INPUT'!D553=1,CONCATENATE("{quality = ",'RHS INPUT'!G553,"; price = ",Round('RHS INPUT'!M553),";};"),""))</f>
        <v>{quality = 1; price = 90;};</v>
      </c>
      <c r="E553" t="str">
        <f>IFERROR(__xludf.DUMMYFUNCTION("if(ISBLANK(A553),, if('RHS INPUT'!E553=1,CONCATENATE(CHAR(34),To_Text('RHS INPUT'!C553),CHAR(34),CHAR(44)),""""))"),"""rhs_45Rnd_545X39_7N22_AK"",")</f>
        <v>"rhs_45Rnd_545X39_7N22_AK",</v>
      </c>
      <c r="F553" s="28" t="str">
        <f>IF(isblank(A553) ,Concatenate("&gt; ",'RHS INPUT'!A553) , if('RHS INPUT'!F553=1,CONCATENATE(round('RHS INPUT'!N553),Char(44)," ",'RHS INPUT'!C553),""))</f>
        <v>53, rhs_45Rnd_545X39_7N22_AK</v>
      </c>
    </row>
    <row r="554" ht="12.0" customHeight="1">
      <c r="A554" s="1" t="str">
        <f>IFERROR(__xludf.DUMMYFUNCTION("if(ISBLANK('RHS INPUT'!C554),,CONCATENATE(CHAR(34),To_Text('RHS INPUT'!C554),CHAR(34),CHAR(44)))"),"""rhs_100Rnd_762x54mmR"",")</f>
        <v>"rhs_100Rnd_762x54mmR",</v>
      </c>
      <c r="B554" s="18" t="str">
        <f>if(isblank('RHS INPUT'!A554),,CONCATENATE("/*  ",'RHS INPUT'!A554,"  */"))</f>
        <v/>
      </c>
      <c r="C554" s="22" t="str">
        <f>if(isblank(A554),,if('RHS INPUT'!D554=1,Concatenate("class ",'RHS INPUT'!C554),))</f>
        <v>class rhs_100Rnd_762x54mmR</v>
      </c>
      <c r="D554" s="27" t="str">
        <f>if(ISBLANK(A554),,if('RHS INPUT'!D554=1,CONCATENATE("{quality = ",'RHS INPUT'!G554,"; price = ",Round('RHS INPUT'!M554),";};"),""))</f>
        <v>{quality = 2; price = 600;};</v>
      </c>
      <c r="E554" t="str">
        <f>IFERROR(__xludf.DUMMYFUNCTION("if(ISBLANK(A554),, if('RHS INPUT'!E554=1,CONCATENATE(CHAR(34),To_Text('RHS INPUT'!C554),CHAR(34),CHAR(44)),""""))"),"""rhs_100Rnd_762x54mmR"",")</f>
        <v>"rhs_100Rnd_762x54mmR",</v>
      </c>
      <c r="F554" s="28" t="str">
        <f>IF(isblank(A554) ,Concatenate("&gt; ",'RHS INPUT'!A554) , if('RHS INPUT'!F554=1,CONCATENATE(round('RHS INPUT'!N554),Char(44)," ",'RHS INPUT'!C554),""))</f>
        <v>14, rhs_100Rnd_762x54mmR</v>
      </c>
    </row>
    <row r="555" ht="12.0" customHeight="1">
      <c r="A555" s="1" t="str">
        <f>IFERROR(__xludf.DUMMYFUNCTION("if(ISBLANK('RHS INPUT'!C555),,CONCATENATE(CHAR(34),To_Text('RHS INPUT'!C555),CHAR(34),CHAR(44)))"),"""rhs_100Rnd_762x54mmR_green"",")</f>
        <v>"rhs_100Rnd_762x54mmR_green",</v>
      </c>
      <c r="B555" s="18" t="str">
        <f>if(isblank('RHS INPUT'!A555),,CONCATENATE("/*  ",'RHS INPUT'!A555,"  */"))</f>
        <v/>
      </c>
      <c r="C555" s="22" t="str">
        <f>if(isblank(A555),,if('RHS INPUT'!D555=1,Concatenate("class ",'RHS INPUT'!C555),))</f>
        <v>class rhs_100Rnd_762x54mmR_green</v>
      </c>
      <c r="D555" s="27" t="str">
        <f>if(ISBLANK(A555),,if('RHS INPUT'!D555=1,CONCATENATE("{quality = ",'RHS INPUT'!G555,"; price = ",Round('RHS INPUT'!M555),";};"),""))</f>
        <v>{quality = 2; price = 600;};</v>
      </c>
      <c r="E555" t="str">
        <f>IFERROR(__xludf.DUMMYFUNCTION("if(ISBLANK(A555),, if('RHS INPUT'!E555=1,CONCATENATE(CHAR(34),To_Text('RHS INPUT'!C555),CHAR(34),CHAR(44)),""""))"),"""rhs_100Rnd_762x54mmR_green"",")</f>
        <v>"rhs_100Rnd_762x54mmR_green",</v>
      </c>
      <c r="F555" s="28" t="str">
        <f>IF(isblank(A555) ,Concatenate("&gt; ",'RHS INPUT'!A555) , if('RHS INPUT'!F555=1,CONCATENATE(round('RHS INPUT'!N555),Char(44)," ",'RHS INPUT'!C555),""))</f>
        <v>14, rhs_100Rnd_762x54mmR_green</v>
      </c>
    </row>
    <row r="556" ht="12.0" customHeight="1">
      <c r="A556" s="1" t="str">
        <f>IFERROR(__xludf.DUMMYFUNCTION("if(ISBLANK('RHS INPUT'!C556),,CONCATENATE(CHAR(34),To_Text('RHS INPUT'!C556),CHAR(34),CHAR(44)))"),"""rhs_10Rnd_762x54mmR_7N1"",")</f>
        <v>"rhs_10Rnd_762x54mmR_7N1",</v>
      </c>
      <c r="B556" s="18" t="str">
        <f>if(isblank('RHS INPUT'!A556),,CONCATENATE("/*  ",'RHS INPUT'!A556,"  */"))</f>
        <v/>
      </c>
      <c r="C556" s="22" t="str">
        <f>if(isblank(A556),,if('RHS INPUT'!D556=1,Concatenate("class ",'RHS INPUT'!C556),))</f>
        <v>class rhs_10Rnd_762x54mmR_7N1</v>
      </c>
      <c r="D556" s="27" t="str">
        <f>if(ISBLANK(A556),,if('RHS INPUT'!D556=1,CONCATENATE("{quality = ",'RHS INPUT'!G556,"; price = ",Round('RHS INPUT'!M556),";};"),""))</f>
        <v>{quality = 2; price = 60;};</v>
      </c>
      <c r="E556" t="str">
        <f>IFERROR(__xludf.DUMMYFUNCTION("if(ISBLANK(A556),, if('RHS INPUT'!E556=1,CONCATENATE(CHAR(34),To_Text('RHS INPUT'!C556),CHAR(34),CHAR(44)),""""))"),"""rhs_10Rnd_762x54mmR_7N1"",")</f>
        <v>"rhs_10Rnd_762x54mmR_7N1",</v>
      </c>
      <c r="F556" s="28" t="str">
        <f>IF(isblank(A556) ,Concatenate("&gt; ",'RHS INPUT'!A556) , if('RHS INPUT'!F556=1,CONCATENATE(round('RHS INPUT'!N556),Char(44)," ",'RHS INPUT'!C556),""))</f>
        <v>63, rhs_10Rnd_762x54mmR_7N1</v>
      </c>
    </row>
    <row r="557" ht="12.0" customHeight="1">
      <c r="A557" s="1" t="str">
        <f>IFERROR(__xludf.DUMMYFUNCTION("if(ISBLANK('RHS INPUT'!C557),,CONCATENATE(CHAR(34),To_Text('RHS INPUT'!C557),CHAR(34),CHAR(44)))"),"""rhs_mag_9x19_17"",")</f>
        <v>"rhs_mag_9x19_17",</v>
      </c>
      <c r="B557" s="18" t="str">
        <f>if(isblank('RHS INPUT'!A557),,CONCATENATE("/*  ",'RHS INPUT'!A557,"  */"))</f>
        <v/>
      </c>
      <c r="C557" s="22" t="str">
        <f>if(isblank(A557),,if('RHS INPUT'!D557=1,Concatenate("class ",'RHS INPUT'!C557),))</f>
        <v>class rhs_mag_9x19_17</v>
      </c>
      <c r="D557" s="27" t="str">
        <f>if(ISBLANK(A557),,if('RHS INPUT'!D557=1,CONCATENATE("{quality = ",'RHS INPUT'!G557,"; price = ",Round('RHS INPUT'!M557),";};"),""))</f>
        <v>{quality = 1; price = 17;};</v>
      </c>
      <c r="E557" t="str">
        <f>IFERROR(__xludf.DUMMYFUNCTION("if(ISBLANK(A557),, if('RHS INPUT'!E557=1,CONCATENATE(CHAR(34),To_Text('RHS INPUT'!C557),CHAR(34),CHAR(44)),""""))"),"""rhs_mag_9x19_17"",")</f>
        <v>"rhs_mag_9x19_17",</v>
      </c>
      <c r="F557" s="28" t="str">
        <f>IF(isblank(A557) ,Concatenate("&gt; ",'RHS INPUT'!A557) , if('RHS INPUT'!F557=1,CONCATENATE(round('RHS INPUT'!N557),Char(44)," ",'RHS INPUT'!C557),""))</f>
        <v>85, rhs_mag_9x19_17</v>
      </c>
    </row>
    <row r="558" ht="12.0" customHeight="1">
      <c r="A558" s="1" t="str">
        <f>IFERROR(__xludf.DUMMYFUNCTION("if(ISBLANK('RHS INPUT'!C558),,CONCATENATE(CHAR(34),To_Text('RHS INPUT'!C558),CHAR(34),CHAR(44)))"),"""rhs_mag_9x18_12_57N181S"",")</f>
        <v>"rhs_mag_9x18_12_57N181S",</v>
      </c>
      <c r="B558" s="18" t="str">
        <f>if(isblank('RHS INPUT'!A558),,CONCATENATE("/*  ",'RHS INPUT'!A558,"  */"))</f>
        <v/>
      </c>
      <c r="C558" s="22" t="str">
        <f>if(isblank(A558),,if('RHS INPUT'!D558=1,Concatenate("class ",'RHS INPUT'!C558),))</f>
        <v>class rhs_mag_9x18_12_57N181S</v>
      </c>
      <c r="D558" s="27" t="str">
        <f>if(ISBLANK(A558),,if('RHS INPUT'!D558=1,CONCATENATE("{quality = ",'RHS INPUT'!G558,"; price = ",Round('RHS INPUT'!M558),";};"),""))</f>
        <v>{quality = 1; price = 12;};</v>
      </c>
      <c r="E558" t="str">
        <f>IFERROR(__xludf.DUMMYFUNCTION("if(ISBLANK(A558),, if('RHS INPUT'!E558=1,CONCATENATE(CHAR(34),To_Text('RHS INPUT'!C558),CHAR(34),CHAR(44)),""""))"),"""rhs_mag_9x18_12_57N181S"",")</f>
        <v>"rhs_mag_9x18_12_57N181S",</v>
      </c>
      <c r="F558" s="28" t="str">
        <f>IF(isblank(A558) ,Concatenate("&gt; ",'RHS INPUT'!A558) , if('RHS INPUT'!F558=1,CONCATENATE(round('RHS INPUT'!N558),Char(44)," ",'RHS INPUT'!C558),""))</f>
        <v>89, rhs_mag_9x18_12_57N181S</v>
      </c>
    </row>
    <row r="559" ht="12.0" customHeight="1">
      <c r="A559" s="1" t="str">
        <f>IFERROR(__xludf.DUMMYFUNCTION("if(ISBLANK('RHS INPUT'!C559),,CONCATENATE(CHAR(34),To_Text('RHS INPUT'!C559),CHAR(34),CHAR(44)))"),"""rhsusf_mag_7x45acp_MHP"",")</f>
        <v>"rhsusf_mag_7x45acp_MHP",</v>
      </c>
      <c r="B559" s="18" t="str">
        <f>if(isblank('RHS INPUT'!A559),,CONCATENATE("/*  ",'RHS INPUT'!A559,"  */"))</f>
        <v/>
      </c>
      <c r="C559" s="22" t="str">
        <f>if(isblank(A559),,if('RHS INPUT'!D559=1,Concatenate("class ",'RHS INPUT'!C559),))</f>
        <v>class rhsusf_mag_7x45acp_MHP</v>
      </c>
      <c r="D559" s="27" t="str">
        <f>if(ISBLANK(A559),,if('RHS INPUT'!D559=1,CONCATENATE("{quality = ",'RHS INPUT'!G559,"; price = ",Round('RHS INPUT'!M559),";};"),""))</f>
        <v>{quality = 2; price = 14;};</v>
      </c>
      <c r="E559" t="str">
        <f>IFERROR(__xludf.DUMMYFUNCTION("if(ISBLANK(A559),, if('RHS INPUT'!E559=1,CONCATENATE(CHAR(34),To_Text('RHS INPUT'!C559),CHAR(34),CHAR(44)),""""))"),"""rhsusf_mag_7x45acp_MHP"",")</f>
        <v>"rhsusf_mag_7x45acp_MHP",</v>
      </c>
      <c r="F559" s="28" t="str">
        <f>IF(isblank(A559) ,Concatenate("&gt; ",'RHS INPUT'!A559) , if('RHS INPUT'!F559=1,CONCATENATE(round('RHS INPUT'!N559),Char(44)," ",'RHS INPUT'!C559),""))</f>
        <v>88, rhsusf_mag_7x45acp_MHP</v>
      </c>
    </row>
    <row r="560" ht="12.0" customHeight="1">
      <c r="A560" s="1" t="str">
        <f>IFERROR(__xludf.DUMMYFUNCTION("if(ISBLANK('RHS INPUT'!C560),,CONCATENATE(CHAR(34),To_Text('RHS INPUT'!C560),CHAR(34),CHAR(44)))"),"""rhsusf_mag_17Rnd_9x19_FMJ"",")</f>
        <v>"rhsusf_mag_17Rnd_9x19_FMJ",</v>
      </c>
      <c r="B560" s="18" t="str">
        <f>if(isblank('RHS INPUT'!A560),,CONCATENATE("/*  ",'RHS INPUT'!A560,"  */"))</f>
        <v/>
      </c>
      <c r="C560" s="22" t="str">
        <f>if(isblank(A560),,if('RHS INPUT'!D560=1,Concatenate("class ",'RHS INPUT'!C560),))</f>
        <v>class rhsusf_mag_17Rnd_9x19_FMJ</v>
      </c>
      <c r="D560" s="27" t="str">
        <f>if(ISBLANK(A560),,if('RHS INPUT'!D560=1,CONCATENATE("{quality = ",'RHS INPUT'!G560,"; price = ",Round('RHS INPUT'!M560),";};"),""))</f>
        <v>{quality = 1; price = 17;};</v>
      </c>
      <c r="E560" t="str">
        <f>IFERROR(__xludf.DUMMYFUNCTION("if(ISBLANK(A560),, if('RHS INPUT'!E560=1,CONCATENATE(CHAR(34),To_Text('RHS INPUT'!C560),CHAR(34),CHAR(44)),""""))"),"""rhsusf_mag_17Rnd_9x19_FMJ"",")</f>
        <v>"rhsusf_mag_17Rnd_9x19_FMJ",</v>
      </c>
      <c r="F560" s="28" t="str">
        <f>IF(isblank(A560) ,Concatenate("&gt; ",'RHS INPUT'!A560) , if('RHS INPUT'!F560=1,CONCATENATE(round('RHS INPUT'!N560),Char(44)," ",'RHS INPUT'!C560),""))</f>
        <v>85, rhsusf_mag_17Rnd_9x19_FMJ</v>
      </c>
    </row>
    <row r="561" ht="12.0" customHeight="1">
      <c r="A561" s="1" t="str">
        <f>IFERROR(__xludf.DUMMYFUNCTION("if(ISBLANK('RHS INPUT'!C561),,CONCATENATE(CHAR(34),To_Text('RHS INPUT'!C561),CHAR(34),CHAR(44)))"),"""rhsusf_mag_17Rnd_9x19_JHP"",")</f>
        <v>"rhsusf_mag_17Rnd_9x19_JHP",</v>
      </c>
      <c r="B561" s="18" t="str">
        <f>if(isblank('RHS INPUT'!A561),,CONCATENATE("/*  ",'RHS INPUT'!A561,"  */"))</f>
        <v/>
      </c>
      <c r="C561" s="22" t="str">
        <f>if(isblank(A561),,if('RHS INPUT'!D561=1,Concatenate("class ",'RHS INPUT'!C561),))</f>
        <v>class rhsusf_mag_17Rnd_9x19_JHP</v>
      </c>
      <c r="D561" s="27" t="str">
        <f>if(ISBLANK(A561),,if('RHS INPUT'!D561=1,CONCATENATE("{quality = ",'RHS INPUT'!G561,"; price = ",Round('RHS INPUT'!M561),";};"),""))</f>
        <v>{quality = 1; price = 17;};</v>
      </c>
      <c r="E561" t="str">
        <f>IFERROR(__xludf.DUMMYFUNCTION("if(ISBLANK(A561),, if('RHS INPUT'!E561=1,CONCATENATE(CHAR(34),To_Text('RHS INPUT'!C561),CHAR(34),CHAR(44)),""""))"),"""rhsusf_mag_17Rnd_9x19_JHP"",")</f>
        <v>"rhsusf_mag_17Rnd_9x19_JHP",</v>
      </c>
      <c r="F561" s="28" t="str">
        <f>IF(isblank(A561) ,Concatenate("&gt; ",'RHS INPUT'!A561) , if('RHS INPUT'!F561=1,CONCATENATE(round('RHS INPUT'!N561),Char(44)," ",'RHS INPUT'!C561),""))</f>
        <v>85, rhsusf_mag_17Rnd_9x19_JHP</v>
      </c>
    </row>
    <row r="562" ht="12.0" customHeight="1">
      <c r="A562" s="1" t="str">
        <f>IFERROR(__xludf.DUMMYFUNCTION("if(ISBLANK('RHS INPUT'!C562),,CONCATENATE(CHAR(34),To_Text('RHS INPUT'!C562),CHAR(34),CHAR(44)))"),"""rhsusf_20Rnd_762x51_m118_special_Mag"",")</f>
        <v>"rhsusf_20Rnd_762x51_m118_special_Mag",</v>
      </c>
      <c r="B562" s="18" t="str">
        <f>if(isblank('RHS INPUT'!A562),,CONCATENATE("/*  ",'RHS INPUT'!A562,"  */"))</f>
        <v/>
      </c>
      <c r="C562" s="22" t="str">
        <f>if(isblank(A562),,if('RHS INPUT'!D562=1,Concatenate("class ",'RHS INPUT'!C562),))</f>
        <v>class rhsusf_20Rnd_762x51_m118_special_Mag</v>
      </c>
      <c r="D562" s="27" t="str">
        <f>if(ISBLANK(A562),,if('RHS INPUT'!D562=1,CONCATENATE("{quality = ",'RHS INPUT'!G562,"; price = ",Round('RHS INPUT'!M562),";};"),""))</f>
        <v>{quality = 2; price = 120;};</v>
      </c>
      <c r="E562" t="str">
        <f>IFERROR(__xludf.DUMMYFUNCTION("if(ISBLANK(A562),, if('RHS INPUT'!E562=1,CONCATENATE(CHAR(34),To_Text('RHS INPUT'!C562),CHAR(34),CHAR(44)),""""))"),"""rhsusf_20Rnd_762x51_m118_special_Mag"",")</f>
        <v>"rhsusf_20Rnd_762x51_m118_special_Mag",</v>
      </c>
      <c r="F562" s="28" t="str">
        <f>IF(isblank(A562) ,Concatenate("&gt; ",'RHS INPUT'!A562) , if('RHS INPUT'!F562=1,CONCATENATE(round('RHS INPUT'!N562),Char(44)," ",'RHS INPUT'!C562),""))</f>
        <v>45, rhsusf_20Rnd_762x51_m118_special_Mag</v>
      </c>
    </row>
    <row r="563" ht="12.0" customHeight="1">
      <c r="A563" s="1" t="str">
        <f>IFERROR(__xludf.DUMMYFUNCTION("if(ISBLANK('RHS INPUT'!C563),,CONCATENATE(CHAR(34),To_Text('RHS INPUT'!C563),CHAR(34),CHAR(44)))"),"""rhsusf_20Rnd_762x51_m993_Mag"",")</f>
        <v>"rhsusf_20Rnd_762x51_m993_Mag",</v>
      </c>
      <c r="B563" s="18" t="str">
        <f>if(isblank('RHS INPUT'!A563),,CONCATENATE("/*  ",'RHS INPUT'!A563,"  */"))</f>
        <v/>
      </c>
      <c r="C563" s="22" t="str">
        <f>if(isblank(A563),,if('RHS INPUT'!D563=1,Concatenate("class ",'RHS INPUT'!C563),))</f>
        <v>class rhsusf_20Rnd_762x51_m993_Mag</v>
      </c>
      <c r="D563" s="27" t="str">
        <f>if(ISBLANK(A563),,if('RHS INPUT'!D563=1,CONCATENATE("{quality = ",'RHS INPUT'!G563,"; price = ",Round('RHS INPUT'!M563),";};"),""))</f>
        <v>{quality = 2; price = 120;};</v>
      </c>
      <c r="E563" t="str">
        <f>IFERROR(__xludf.DUMMYFUNCTION("if(ISBLANK(A563),, if('RHS INPUT'!E563=1,CONCATENATE(CHAR(34),To_Text('RHS INPUT'!C563),CHAR(34),CHAR(44)),""""))"),"""rhsusf_20Rnd_762x51_m993_Mag"",")</f>
        <v>"rhsusf_20Rnd_762x51_m993_Mag",</v>
      </c>
      <c r="F563" s="28" t="str">
        <f>IF(isblank(A563) ,Concatenate("&gt; ",'RHS INPUT'!A563) , if('RHS INPUT'!F563=1,CONCATENATE(round('RHS INPUT'!N563),Char(44)," ",'RHS INPUT'!C563),""))</f>
        <v>45, rhsusf_20Rnd_762x51_m993_Mag</v>
      </c>
    </row>
    <row r="564" ht="12.0" customHeight="1">
      <c r="A564" s="1" t="str">
        <f>IFERROR(__xludf.DUMMYFUNCTION("if(ISBLANK('RHS INPUT'!C564),,CONCATENATE(CHAR(34),To_Text('RHS INPUT'!C564),CHAR(34),CHAR(44)))"),"""rhs_mag_30Rnd_556x45_Mk262_Stanag"",")</f>
        <v>"rhs_mag_30Rnd_556x45_Mk262_Stanag",</v>
      </c>
      <c r="B564" s="18" t="str">
        <f>if(isblank('RHS INPUT'!A564),,CONCATENATE("/*  ",'RHS INPUT'!A564,"  */"))</f>
        <v/>
      </c>
      <c r="C564" s="22" t="str">
        <f>if(isblank(A564),,if('RHS INPUT'!D564=1,Concatenate("class ",'RHS INPUT'!C564),))</f>
        <v>class rhs_mag_30Rnd_556x45_Mk262_Stanag</v>
      </c>
      <c r="D564" s="27" t="str">
        <f>if(ISBLANK(A564),,if('RHS INPUT'!D564=1,CONCATENATE("{quality = ",'RHS INPUT'!G564,"; price = ",Round('RHS INPUT'!M564),";};"),""))</f>
        <v>{quality = 1; price = 60;};</v>
      </c>
      <c r="E564" t="str">
        <f>IFERROR(__xludf.DUMMYFUNCTION("if(ISBLANK(A564),, if('RHS INPUT'!E564=1,CONCATENATE(CHAR(34),To_Text('RHS INPUT'!C564),CHAR(34),CHAR(44)),""""))"),"""rhs_mag_30Rnd_556x45_Mk262_Stanag"",")</f>
        <v>"rhs_mag_30Rnd_556x45_Mk262_Stanag",</v>
      </c>
      <c r="F564" s="28" t="str">
        <f>IF(isblank(A564) ,Concatenate("&gt; ",'RHS INPUT'!A564) , if('RHS INPUT'!F564=1,CONCATENATE(round('RHS INPUT'!N564),Char(44)," ",'RHS INPUT'!C564),""))</f>
        <v>63, rhs_mag_30Rnd_556x45_Mk262_Stanag</v>
      </c>
    </row>
    <row r="565" ht="12.0" customHeight="1">
      <c r="A565" s="1" t="str">
        <f>IFERROR(__xludf.DUMMYFUNCTION("if(ISBLANK('RHS INPUT'!C565),,CONCATENATE(CHAR(34),To_Text('RHS INPUT'!C565),CHAR(34),CHAR(44)))"),"""rhs_mag_30Rnd_556x45_Mk318_Stanag"",")</f>
        <v>"rhs_mag_30Rnd_556x45_Mk318_Stanag",</v>
      </c>
      <c r="B565" s="18" t="str">
        <f>if(isblank('RHS INPUT'!A565),,CONCATENATE("/*  ",'RHS INPUT'!A565,"  */"))</f>
        <v/>
      </c>
      <c r="C565" s="22" t="str">
        <f>if(isblank(A565),,if('RHS INPUT'!D565=1,Concatenate("class ",'RHS INPUT'!C565),))</f>
        <v>class rhs_mag_30Rnd_556x45_Mk318_Stanag</v>
      </c>
      <c r="D565" s="27" t="str">
        <f>if(ISBLANK(A565),,if('RHS INPUT'!D565=1,CONCATENATE("{quality = ",'RHS INPUT'!G565,"; price = ",Round('RHS INPUT'!M565),";};"),""))</f>
        <v>{quality = 1; price = 60;};</v>
      </c>
      <c r="E565" t="str">
        <f>IFERROR(__xludf.DUMMYFUNCTION("if(ISBLANK(A565),, if('RHS INPUT'!E565=1,CONCATENATE(CHAR(34),To_Text('RHS INPUT'!C565),CHAR(34),CHAR(44)),""""))"),"""rhs_mag_30Rnd_556x45_Mk318_Stanag"",")</f>
        <v>"rhs_mag_30Rnd_556x45_Mk318_Stanag",</v>
      </c>
      <c r="F565" s="28" t="str">
        <f>IF(isblank(A565) ,Concatenate("&gt; ",'RHS INPUT'!A565) , if('RHS INPUT'!F565=1,CONCATENATE(round('RHS INPUT'!N565),Char(44)," ",'RHS INPUT'!C565),""))</f>
        <v>63, rhs_mag_30Rnd_556x45_Mk318_Stanag</v>
      </c>
    </row>
    <row r="566" ht="12.0" customHeight="1">
      <c r="A566" s="1" t="str">
        <f>IFERROR(__xludf.DUMMYFUNCTION("if(ISBLANK('RHS INPUT'!C566),,CONCATENATE(CHAR(34),To_Text('RHS INPUT'!C566),CHAR(34),CHAR(44)))"),"""rhs_mag_30Rnd_556x45_M855A1_Stanag"",")</f>
        <v>"rhs_mag_30Rnd_556x45_M855A1_Stanag",</v>
      </c>
      <c r="B566" s="18" t="str">
        <f>if(isblank('RHS INPUT'!A566),,CONCATENATE("/*  ",'RHS INPUT'!A566,"  */"))</f>
        <v/>
      </c>
      <c r="C566" s="22" t="str">
        <f>if(isblank(A566),,if('RHS INPUT'!D566=1,Concatenate("class ",'RHS INPUT'!C566),))</f>
        <v>class rhs_mag_30Rnd_556x45_M855A1_Stanag</v>
      </c>
      <c r="D566" s="27" t="str">
        <f>if(ISBLANK(A566),,if('RHS INPUT'!D566=1,CONCATENATE("{quality = ",'RHS INPUT'!G566,"; price = ",Round('RHS INPUT'!M566),";};"),""))</f>
        <v>{quality = 1; price = 60;};</v>
      </c>
      <c r="E566" t="str">
        <f>IFERROR(__xludf.DUMMYFUNCTION("if(ISBLANK(A566),, if('RHS INPUT'!E566=1,CONCATENATE(CHAR(34),To_Text('RHS INPUT'!C566),CHAR(34),CHAR(44)),""""))"),"""rhs_mag_30Rnd_556x45_M855A1_Stanag"",")</f>
        <v>"rhs_mag_30Rnd_556x45_M855A1_Stanag",</v>
      </c>
      <c r="F566" s="28" t="str">
        <f>IF(isblank(A566) ,Concatenate("&gt; ",'RHS INPUT'!A566) , if('RHS INPUT'!F566=1,CONCATENATE(round('RHS INPUT'!N566),Char(44)," ",'RHS INPUT'!C566),""))</f>
        <v>63, rhs_mag_30Rnd_556x45_M855A1_Stanag</v>
      </c>
    </row>
    <row r="567" ht="12.0" customHeight="1">
      <c r="A567" s="1" t="str">
        <f>IFERROR(__xludf.DUMMYFUNCTION("if(ISBLANK('RHS INPUT'!C567),,CONCATENATE(CHAR(34),To_Text('RHS INPUT'!C567),CHAR(34),CHAR(44)))"),"""rhs_mag_30Rnd_556x45_M855A1_Stanag_No_Tracer"",")</f>
        <v>"rhs_mag_30Rnd_556x45_M855A1_Stanag_No_Tracer",</v>
      </c>
      <c r="B567" s="18" t="str">
        <f>if(isblank('RHS INPUT'!A567),,CONCATENATE("/*  ",'RHS INPUT'!A567,"  */"))</f>
        <v/>
      </c>
      <c r="C567" s="22" t="str">
        <f>if(isblank(A567),,if('RHS INPUT'!D567=1,Concatenate("class ",'RHS INPUT'!C567),))</f>
        <v>class rhs_mag_30Rnd_556x45_M855A1_Stanag_No_Tracer</v>
      </c>
      <c r="D567" s="27" t="str">
        <f>if(ISBLANK(A567),,if('RHS INPUT'!D567=1,CONCATENATE("{quality = ",'RHS INPUT'!G567,"; price = ",Round('RHS INPUT'!M567),";};"),""))</f>
        <v>{quality = 1; price = 60;};</v>
      </c>
      <c r="E567" t="str">
        <f>IFERROR(__xludf.DUMMYFUNCTION("if(ISBLANK(A567),, if('RHS INPUT'!E567=1,CONCATENATE(CHAR(34),To_Text('RHS INPUT'!C567),CHAR(34),CHAR(44)),""""))"),"""rhs_mag_30Rnd_556x45_M855A1_Stanag_No_Tracer"",")</f>
        <v>"rhs_mag_30Rnd_556x45_M855A1_Stanag_No_Tracer",</v>
      </c>
      <c r="F567" s="28" t="str">
        <f>IF(isblank(A567) ,Concatenate("&gt; ",'RHS INPUT'!A567) , if('RHS INPUT'!F567=1,CONCATENATE(round('RHS INPUT'!N567),Char(44)," ",'RHS INPUT'!C567),""))</f>
        <v>63, rhs_mag_30Rnd_556x45_M855A1_Stanag_No_Tracer</v>
      </c>
    </row>
    <row r="568" ht="12.0" customHeight="1">
      <c r="A568" s="1" t="str">
        <f>IFERROR(__xludf.DUMMYFUNCTION("if(ISBLANK('RHS INPUT'!C568),,CONCATENATE(CHAR(34),To_Text('RHS INPUT'!C568),CHAR(34),CHAR(44)))"),"""rhs_mag_30Rnd_556x45_M855A1_Stanag_Tracer_Red"",")</f>
        <v>"rhs_mag_30Rnd_556x45_M855A1_Stanag_Tracer_Red",</v>
      </c>
      <c r="B568" s="18" t="str">
        <f>if(isblank('RHS INPUT'!A568),,CONCATENATE("/*  ",'RHS INPUT'!A568,"  */"))</f>
        <v/>
      </c>
      <c r="C568" s="22" t="str">
        <f>if(isblank(A568),,if('RHS INPUT'!D568=1,Concatenate("class ",'RHS INPUT'!C568),))</f>
        <v>class rhs_mag_30Rnd_556x45_M855A1_Stanag_Tracer_Red</v>
      </c>
      <c r="D568" s="27" t="str">
        <f>if(ISBLANK(A568),,if('RHS INPUT'!D568=1,CONCATENATE("{quality = ",'RHS INPUT'!G568,"; price = ",Round('RHS INPUT'!M568),";};"),""))</f>
        <v>{quality = 1; price = 60;};</v>
      </c>
      <c r="E568" t="str">
        <f>IFERROR(__xludf.DUMMYFUNCTION("if(ISBLANK(A568),, if('RHS INPUT'!E568=1,CONCATENATE(CHAR(34),To_Text('RHS INPUT'!C568),CHAR(34),CHAR(44)),""""))"),"""rhs_mag_30Rnd_556x45_M855A1_Stanag_Tracer_Red"",")</f>
        <v>"rhs_mag_30Rnd_556x45_M855A1_Stanag_Tracer_Red",</v>
      </c>
      <c r="F568" s="28" t="str">
        <f>IF(isblank(A568) ,Concatenate("&gt; ",'RHS INPUT'!A568) , if('RHS INPUT'!F568=1,CONCATENATE(round('RHS INPUT'!N568),Char(44)," ",'RHS INPUT'!C568),""))</f>
        <v>63, rhs_mag_30Rnd_556x45_M855A1_Stanag_Tracer_Red</v>
      </c>
    </row>
    <row r="569" ht="12.0" customHeight="1">
      <c r="A569" s="1" t="str">
        <f>IFERROR(__xludf.DUMMYFUNCTION("if(ISBLANK('RHS INPUT'!C569),,CONCATENATE(CHAR(34),To_Text('RHS INPUT'!C569),CHAR(34),CHAR(44)))"),"""rhs_mag_30Rnd_556x45_M855A1_Stanag_Tracer_Green"",")</f>
        <v>"rhs_mag_30Rnd_556x45_M855A1_Stanag_Tracer_Green",</v>
      </c>
      <c r="B569" s="18" t="str">
        <f>if(isblank('RHS INPUT'!A569),,CONCATENATE("/*  ",'RHS INPUT'!A569,"  */"))</f>
        <v/>
      </c>
      <c r="C569" s="22" t="str">
        <f>if(isblank(A569),,if('RHS INPUT'!D569=1,Concatenate("class ",'RHS INPUT'!C569),))</f>
        <v>class rhs_mag_30Rnd_556x45_M855A1_Stanag_Tracer_Green</v>
      </c>
      <c r="D569" s="27" t="str">
        <f>if(ISBLANK(A569),,if('RHS INPUT'!D569=1,CONCATENATE("{quality = ",'RHS INPUT'!G569,"; price = ",Round('RHS INPUT'!M569),";};"),""))</f>
        <v>{quality = 1; price = 60;};</v>
      </c>
      <c r="E569" t="str">
        <f>IFERROR(__xludf.DUMMYFUNCTION("if(ISBLANK(A569),, if('RHS INPUT'!E569=1,CONCATENATE(CHAR(34),To_Text('RHS INPUT'!C569),CHAR(34),CHAR(44)),""""))"),"""rhs_mag_30Rnd_556x45_M855A1_Stanag_Tracer_Green"",")</f>
        <v>"rhs_mag_30Rnd_556x45_M855A1_Stanag_Tracer_Green",</v>
      </c>
      <c r="F569" s="28" t="str">
        <f>IF(isblank(A569) ,Concatenate("&gt; ",'RHS INPUT'!A569) , if('RHS INPUT'!F569=1,CONCATENATE(round('RHS INPUT'!N569),Char(44)," ",'RHS INPUT'!C569),""))</f>
        <v>63, rhs_mag_30Rnd_556x45_M855A1_Stanag_Tracer_Green</v>
      </c>
    </row>
    <row r="570" ht="12.0" customHeight="1">
      <c r="A570" s="1" t="str">
        <f>IFERROR(__xludf.DUMMYFUNCTION("if(ISBLANK('RHS INPUT'!C570),,CONCATENATE(CHAR(34),To_Text('RHS INPUT'!C570),CHAR(34),CHAR(44)))"),"""rhs_mag_30Rnd_556x45_M855A1_Stanag_Tracer_Yellow"",")</f>
        <v>"rhs_mag_30Rnd_556x45_M855A1_Stanag_Tracer_Yellow",</v>
      </c>
      <c r="B570" s="18" t="str">
        <f>if(isblank('RHS INPUT'!A570),,CONCATENATE("/*  ",'RHS INPUT'!A570,"  */"))</f>
        <v/>
      </c>
      <c r="C570" s="22" t="str">
        <f>if(isblank(A570),,if('RHS INPUT'!D570=1,Concatenate("class ",'RHS INPUT'!C570),))</f>
        <v>class rhs_mag_30Rnd_556x45_M855A1_Stanag_Tracer_Yellow</v>
      </c>
      <c r="D570" s="27" t="str">
        <f>if(ISBLANK(A570),,if('RHS INPUT'!D570=1,CONCATENATE("{quality = ",'RHS INPUT'!G570,"; price = ",Round('RHS INPUT'!M570),";};"),""))</f>
        <v>{quality = 1; price = 60;};</v>
      </c>
      <c r="E570" t="str">
        <f>IFERROR(__xludf.DUMMYFUNCTION("if(ISBLANK(A570),, if('RHS INPUT'!E570=1,CONCATENATE(CHAR(34),To_Text('RHS INPUT'!C570),CHAR(34),CHAR(44)),""""))"),"""rhs_mag_30Rnd_556x45_M855A1_Stanag_Tracer_Yellow"",")</f>
        <v>"rhs_mag_30Rnd_556x45_M855A1_Stanag_Tracer_Yellow",</v>
      </c>
      <c r="F570" s="28" t="str">
        <f>IF(isblank(A570) ,Concatenate("&gt; ",'RHS INPUT'!A570) , if('RHS INPUT'!F570=1,CONCATENATE(round('RHS INPUT'!N570),Char(44)," ",'RHS INPUT'!C570),""))</f>
        <v>63, rhs_mag_30Rnd_556x45_M855A1_Stanag_Tracer_Yellow</v>
      </c>
    </row>
    <row r="571" ht="12.0" customHeight="1">
      <c r="A571" s="1" t="str">
        <f>IFERROR(__xludf.DUMMYFUNCTION("if(ISBLANK('RHS INPUT'!C571),,CONCATENATE(CHAR(34),To_Text('RHS INPUT'!C571),CHAR(34),CHAR(44)))"),"""rhsusf_5Rnd_300winmag_xm2010"",")</f>
        <v>"rhsusf_5Rnd_300winmag_xm2010",</v>
      </c>
      <c r="B571" s="18" t="str">
        <f>if(isblank('RHS INPUT'!A571),,CONCATENATE("/*  ",'RHS INPUT'!A571,"  */"))</f>
        <v/>
      </c>
      <c r="C571" s="22" t="str">
        <f>if(isblank(A571),,if('RHS INPUT'!D571=1,Concatenate("class ",'RHS INPUT'!C571),))</f>
        <v>class rhsusf_5Rnd_300winmag_xm2010</v>
      </c>
      <c r="D571" s="27" t="str">
        <f>if(ISBLANK(A571),,if('RHS INPUT'!D571=1,CONCATENATE("{quality = ",'RHS INPUT'!G571,"; price = ",Round('RHS INPUT'!M571),";};"),""))</f>
        <v>{quality = 2; price = 40;};</v>
      </c>
      <c r="E571" t="str">
        <f>IFERROR(__xludf.DUMMYFUNCTION("if(ISBLANK(A571),, if('RHS INPUT'!E571=1,CONCATENATE(CHAR(34),To_Text('RHS INPUT'!C571),CHAR(34),CHAR(44)),""""))"),"""rhsusf_5Rnd_300winmag_xm2010"",")</f>
        <v>"rhsusf_5Rnd_300winmag_xm2010",</v>
      </c>
      <c r="F571" s="28" t="str">
        <f>IF(isblank(A571) ,Concatenate("&gt; ",'RHS INPUT'!A571) , if('RHS INPUT'!F571=1,CONCATENATE(round('RHS INPUT'!N571),Char(44)," ",'RHS INPUT'!C571),""))</f>
        <v>71, rhsusf_5Rnd_300winmag_xm2010</v>
      </c>
    </row>
    <row r="572" ht="12.0" customHeight="1">
      <c r="A572" s="1" t="str">
        <f>IFERROR(__xludf.DUMMYFUNCTION("if(ISBLANK('RHS INPUT'!C572),,CONCATENATE(CHAR(34),To_Text('RHS INPUT'!C572),CHAR(34),CHAR(44)))"),"""rhsusf_5Rnd_00Buck"",")</f>
        <v>"rhsusf_5Rnd_00Buck",</v>
      </c>
      <c r="B572" s="18" t="str">
        <f>if(isblank('RHS INPUT'!A572),,CONCATENATE("/*  ",'RHS INPUT'!A572,"  */"))</f>
        <v/>
      </c>
      <c r="C572" s="22" t="str">
        <f>if(isblank(A572),,if('RHS INPUT'!D572=1,Concatenate("class ",'RHS INPUT'!C572),))</f>
        <v>class rhsusf_5Rnd_00Buck</v>
      </c>
      <c r="D572" s="27" t="str">
        <f>if(ISBLANK(A572),,if('RHS INPUT'!D572=1,CONCATENATE("{quality = ",'RHS INPUT'!G572,"; price = ",Round('RHS INPUT'!M572),";};"),""))</f>
        <v>{quality = 1; price = 10;};</v>
      </c>
      <c r="E572" t="str">
        <f>IFERROR(__xludf.DUMMYFUNCTION("if(ISBLANK(A572),, if('RHS INPUT'!E572=1,CONCATENATE(CHAR(34),To_Text('RHS INPUT'!C572),CHAR(34),CHAR(44)),""""))"),"""rhsusf_5Rnd_00Buck"",")</f>
        <v>"rhsusf_5Rnd_00Buck",</v>
      </c>
      <c r="F572" s="28" t="str">
        <f>IF(isblank(A572) ,Concatenate("&gt; ",'RHS INPUT'!A572) , if('RHS INPUT'!F572=1,CONCATENATE(round('RHS INPUT'!N572),Char(44)," ",'RHS INPUT'!C572),""))</f>
        <v>91, rhsusf_5Rnd_00Buck</v>
      </c>
    </row>
    <row r="573" ht="12.0" customHeight="1">
      <c r="A573" s="1" t="str">
        <f>IFERROR(__xludf.DUMMYFUNCTION("if(ISBLANK('RHS INPUT'!C573),,CONCATENATE(CHAR(34),To_Text('RHS INPUT'!C573),CHAR(34),CHAR(44)))"),"""rhsusf_8Rnd_00Buck"",")</f>
        <v>"rhsusf_8Rnd_00Buck",</v>
      </c>
      <c r="B573" s="18" t="str">
        <f>if(isblank('RHS INPUT'!A573),,CONCATENATE("/*  ",'RHS INPUT'!A573,"  */"))</f>
        <v/>
      </c>
      <c r="C573" s="22" t="str">
        <f>if(isblank(A573),,if('RHS INPUT'!D573=1,Concatenate("class ",'RHS INPUT'!C573),))</f>
        <v>class rhsusf_8Rnd_00Buck</v>
      </c>
      <c r="D573" s="27" t="str">
        <f>if(ISBLANK(A573),,if('RHS INPUT'!D573=1,CONCATENATE("{quality = ",'RHS INPUT'!G573,"; price = ",Round('RHS INPUT'!M573),";};"),""))</f>
        <v>{quality = 1; price = 16;};</v>
      </c>
      <c r="E573" t="str">
        <f>IFERROR(__xludf.DUMMYFUNCTION("if(ISBLANK(A573),, if('RHS INPUT'!E573=1,CONCATENATE(CHAR(34),To_Text('RHS INPUT'!C573),CHAR(34),CHAR(44)),""""))"),"""rhsusf_8Rnd_00Buck"",")</f>
        <v>"rhsusf_8Rnd_00Buck",</v>
      </c>
      <c r="F573" s="28" t="str">
        <f>IF(isblank(A573) ,Concatenate("&gt; ",'RHS INPUT'!A573) , if('RHS INPUT'!F573=1,CONCATENATE(round('RHS INPUT'!N573),Char(44)," ",'RHS INPUT'!C573),""))</f>
        <v>86, rhsusf_8Rnd_00Buck</v>
      </c>
    </row>
    <row r="574" ht="12.0" customHeight="1">
      <c r="A574" s="1" t="str">
        <f>IFERROR(__xludf.DUMMYFUNCTION("if(ISBLANK('RHS INPUT'!C574),,CONCATENATE(CHAR(34),To_Text('RHS INPUT'!C574),CHAR(34),CHAR(44)))"),"""rhsusf_5Rnd_Slug"",")</f>
        <v>"rhsusf_5Rnd_Slug",</v>
      </c>
      <c r="B574" s="18" t="str">
        <f>if(isblank('RHS INPUT'!A574),,CONCATENATE("/*  ",'RHS INPUT'!A574,"  */"))</f>
        <v/>
      </c>
      <c r="C574" s="22" t="str">
        <f>if(isblank(A574),,if('RHS INPUT'!D574=1,Concatenate("class ",'RHS INPUT'!C574),))</f>
        <v>class rhsusf_5Rnd_Slug</v>
      </c>
      <c r="D574" s="27" t="str">
        <f>if(ISBLANK(A574),,if('RHS INPUT'!D574=1,CONCATENATE("{quality = ",'RHS INPUT'!G574,"; price = ",Round('RHS INPUT'!M574),";};"),""))</f>
        <v>{quality = 2; price = 30;};</v>
      </c>
      <c r="E574" t="str">
        <f>IFERROR(__xludf.DUMMYFUNCTION("if(ISBLANK(A574),, if('RHS INPUT'!E574=1,CONCATENATE(CHAR(34),To_Text('RHS INPUT'!C574),CHAR(34),CHAR(44)),""""))"),"""rhsusf_5Rnd_Slug"",")</f>
        <v>"rhsusf_5Rnd_Slug",</v>
      </c>
      <c r="F574" s="28" t="str">
        <f>IF(isblank(A574) ,Concatenate("&gt; ",'RHS INPUT'!A574) , if('RHS INPUT'!F574=1,CONCATENATE(round('RHS INPUT'!N574),Char(44)," ",'RHS INPUT'!C574),""))</f>
        <v>77, rhsusf_5Rnd_Slug</v>
      </c>
    </row>
    <row r="575" ht="12.0" customHeight="1">
      <c r="A575" s="1" t="str">
        <f>IFERROR(__xludf.DUMMYFUNCTION("if(ISBLANK('RHS INPUT'!C575),,CONCATENATE(CHAR(34),To_Text('RHS INPUT'!C575),CHAR(34),CHAR(44)))"),"""rhsusf_8Rnd_Slug"",")</f>
        <v>"rhsusf_8Rnd_Slug",</v>
      </c>
      <c r="B575" s="18" t="str">
        <f>if(isblank('RHS INPUT'!A575),,CONCATENATE("/*  ",'RHS INPUT'!A575,"  */"))</f>
        <v/>
      </c>
      <c r="C575" s="22" t="str">
        <f>if(isblank(A575),,if('RHS INPUT'!D575=1,Concatenate("class ",'RHS INPUT'!C575),))</f>
        <v>class rhsusf_8Rnd_Slug</v>
      </c>
      <c r="D575" s="27" t="str">
        <f>if(ISBLANK(A575),,if('RHS INPUT'!D575=1,CONCATENATE("{quality = ",'RHS INPUT'!G575,"; price = ",Round('RHS INPUT'!M575),";};"),""))</f>
        <v>{quality = 2; price = 48;};</v>
      </c>
      <c r="E575" t="str">
        <f>IFERROR(__xludf.DUMMYFUNCTION("if(ISBLANK(A575),, if('RHS INPUT'!E575=1,CONCATENATE(CHAR(34),To_Text('RHS INPUT'!C575),CHAR(34),CHAR(44)),""""))"),"""rhsusf_8Rnd_Slug"",")</f>
        <v>"rhsusf_8Rnd_Slug",</v>
      </c>
      <c r="F575" s="28" t="str">
        <f>IF(isblank(A575) ,Concatenate("&gt; ",'RHS INPUT'!A575) , if('RHS INPUT'!F575=1,CONCATENATE(round('RHS INPUT'!N575),Char(44)," ",'RHS INPUT'!C575),""))</f>
        <v>68, rhsusf_8Rnd_Slug</v>
      </c>
    </row>
    <row r="576" ht="12.0" customHeight="1">
      <c r="A576" s="1" t="str">
        <f>IFERROR(__xludf.DUMMYFUNCTION("if(ISBLANK('RHS INPUT'!C576),,CONCATENATE(CHAR(34),To_Text('RHS INPUT'!C576),CHAR(34),CHAR(44)))"),"""rhsusf_5Rnd_HE"",")</f>
        <v>"rhsusf_5Rnd_HE",</v>
      </c>
      <c r="B576" s="18" t="str">
        <f>if(isblank('RHS INPUT'!A576),,CONCATENATE("/*  ",'RHS INPUT'!A576,"  */"))</f>
        <v/>
      </c>
      <c r="C576" s="22" t="str">
        <f>if(isblank(A576),,if('RHS INPUT'!D576=1,Concatenate("class ",'RHS INPUT'!C576),))</f>
        <v>class rhsusf_5Rnd_HE</v>
      </c>
      <c r="D576" s="27" t="str">
        <f>if(ISBLANK(A576),,if('RHS INPUT'!D576=1,CONCATENATE("{quality = ",'RHS INPUT'!G576,"; price = ",Round('RHS INPUT'!M576),";};"),""))</f>
        <v>{quality = 3; price = 120;};</v>
      </c>
      <c r="E576" t="str">
        <f>IFERROR(__xludf.DUMMYFUNCTION("if(ISBLANK(A576),, if('RHS INPUT'!E576=1,CONCATENATE(CHAR(34),To_Text('RHS INPUT'!C576),CHAR(34),CHAR(44)),""""))"),"""rhsusf_5Rnd_HE"",")</f>
        <v>"rhsusf_5Rnd_HE",</v>
      </c>
      <c r="F576" s="28" t="str">
        <f>IF(isblank(A576) ,Concatenate("&gt; ",'RHS INPUT'!A576) , if('RHS INPUT'!F576=1,CONCATENATE(round('RHS INPUT'!N576),Char(44)," ",'RHS INPUT'!C576),""))</f>
        <v>45, rhsusf_5Rnd_HE</v>
      </c>
    </row>
    <row r="577" ht="12.0" customHeight="1">
      <c r="A577" s="1" t="str">
        <f>IFERROR(__xludf.DUMMYFUNCTION("if(ISBLANK('RHS INPUT'!C577),,CONCATENATE(CHAR(34),To_Text('RHS INPUT'!C577),CHAR(34),CHAR(44)))"),"""rhsusf_8Rnd_HE"",")</f>
        <v>"rhsusf_8Rnd_HE",</v>
      </c>
      <c r="B577" s="18" t="str">
        <f>if(isblank('RHS INPUT'!A577),,CONCATENATE("/*  ",'RHS INPUT'!A577,"  */"))</f>
        <v/>
      </c>
      <c r="C577" s="22" t="str">
        <f>if(isblank(A577),,if('RHS INPUT'!D577=1,Concatenate("class ",'RHS INPUT'!C577),))</f>
        <v>class rhsusf_8Rnd_HE</v>
      </c>
      <c r="D577" s="27" t="str">
        <f>if(ISBLANK(A577),,if('RHS INPUT'!D577=1,CONCATENATE("{quality = ",'RHS INPUT'!G577,"; price = ",Round('RHS INPUT'!M577),";};"),""))</f>
        <v>{quality = 3; price = 192;};</v>
      </c>
      <c r="E577" t="str">
        <f>IFERROR(__xludf.DUMMYFUNCTION("if(ISBLANK(A577),, if('RHS INPUT'!E577=1,CONCATENATE(CHAR(34),To_Text('RHS INPUT'!C577),CHAR(34),CHAR(44)),""""))"),"""rhsusf_8Rnd_HE"",")</f>
        <v>"rhsusf_8Rnd_HE",</v>
      </c>
      <c r="F577" s="28" t="str">
        <f>IF(isblank(A577) ,Concatenate("&gt; ",'RHS INPUT'!A577) , if('RHS INPUT'!F577=1,CONCATENATE(round('RHS INPUT'!N577),Char(44)," ",'RHS INPUT'!C577),""))</f>
        <v>34, rhsusf_8Rnd_HE</v>
      </c>
    </row>
    <row r="578" ht="12.0" customHeight="1">
      <c r="A578" s="1" t="str">
        <f>IFERROR(__xludf.DUMMYFUNCTION("if(ISBLANK('RHS INPUT'!C578),,CONCATENATE(CHAR(34),To_Text('RHS INPUT'!C578),CHAR(34),CHAR(44)))"),"""rhsusf_5Rnd_FRAG"",")</f>
        <v>"rhsusf_5Rnd_FRAG",</v>
      </c>
      <c r="B578" s="18" t="str">
        <f>if(isblank('RHS INPUT'!A578),,CONCATENATE("/*  ",'RHS INPUT'!A578,"  */"))</f>
        <v/>
      </c>
      <c r="C578" s="22" t="str">
        <f>if(isblank(A578),,if('RHS INPUT'!D578=1,Concatenate("class ",'RHS INPUT'!C578),))</f>
        <v>class rhsusf_5Rnd_FRAG</v>
      </c>
      <c r="D578" s="27" t="str">
        <f>if(ISBLANK(A578),,if('RHS INPUT'!D578=1,CONCATENATE("{quality = ",'RHS INPUT'!G578,"; price = ",Round('RHS INPUT'!M578),";};"),""))</f>
        <v>{quality = 3; price = 150;};</v>
      </c>
      <c r="E578" t="str">
        <f>IFERROR(__xludf.DUMMYFUNCTION("if(ISBLANK(A578),, if('RHS INPUT'!E578=1,CONCATENATE(CHAR(34),To_Text('RHS INPUT'!C578),CHAR(34),CHAR(44)),""""))"),"""rhsusf_5Rnd_FRAG"",")</f>
        <v>"rhsusf_5Rnd_FRAG",</v>
      </c>
      <c r="F578" s="28" t="str">
        <f>IF(isblank(A578) ,Concatenate("&gt; ",'RHS INPUT'!A578) , if('RHS INPUT'!F578=1,CONCATENATE(round('RHS INPUT'!N578),Char(44)," ",'RHS INPUT'!C578),""))</f>
        <v>40, rhsusf_5Rnd_FRAG</v>
      </c>
    </row>
    <row r="579" ht="12.0" customHeight="1">
      <c r="A579" s="1" t="str">
        <f>IFERROR(__xludf.DUMMYFUNCTION("if(ISBLANK('RHS INPUT'!C579),,CONCATENATE(CHAR(34),To_Text('RHS INPUT'!C579),CHAR(34),CHAR(44)))"),"""rhsusf_8Rnd_FRAG"",")</f>
        <v>"rhsusf_8Rnd_FRAG",</v>
      </c>
      <c r="B579" s="18" t="str">
        <f>if(isblank('RHS INPUT'!A579),,CONCATENATE("/*  ",'RHS INPUT'!A579,"  */"))</f>
        <v/>
      </c>
      <c r="C579" s="22" t="str">
        <f>if(isblank(A579),,if('RHS INPUT'!D579=1,Concatenate("class ",'RHS INPUT'!C579),))</f>
        <v>class rhsusf_8Rnd_FRAG</v>
      </c>
      <c r="D579" s="27" t="str">
        <f>if(ISBLANK(A579),,if('RHS INPUT'!D579=1,CONCATENATE("{quality = ",'RHS INPUT'!G579,"; price = ",Round('RHS INPUT'!M579),";};"),""))</f>
        <v>{quality = 3; price = 240;};</v>
      </c>
      <c r="E579" t="str">
        <f>IFERROR(__xludf.DUMMYFUNCTION("if(ISBLANK(A579),, if('RHS INPUT'!E579=1,CONCATENATE(CHAR(34),To_Text('RHS INPUT'!C579),CHAR(34),CHAR(44)),""""))"),"""rhsusf_8Rnd_FRAG"",")</f>
        <v>"rhsusf_8Rnd_FRAG",</v>
      </c>
      <c r="F579" s="28" t="str">
        <f>IF(isblank(A579) ,Concatenate("&gt; ",'RHS INPUT'!A579) , if('RHS INPUT'!F579=1,CONCATENATE(round('RHS INPUT'!N579),Char(44)," ",'RHS INPUT'!C579),""))</f>
        <v>29, rhsusf_8Rnd_FRAG</v>
      </c>
    </row>
    <row r="580" ht="12.0" customHeight="1">
      <c r="A580" s="1" t="str">
        <f>IFERROR(__xludf.DUMMYFUNCTION("if(ISBLANK('RHS INPUT'!C580),,CONCATENATE(CHAR(34),To_Text('RHS INPUT'!C580),CHAR(34),CHAR(44)))"),"""rhsusf_100Rnd_556x45_soft_pouch"",")</f>
        <v>"rhsusf_100Rnd_556x45_soft_pouch",</v>
      </c>
      <c r="B580" s="18" t="str">
        <f>if(isblank('RHS INPUT'!A580),,CONCATENATE("/*  ",'RHS INPUT'!A580,"  */"))</f>
        <v/>
      </c>
      <c r="C580" s="22" t="str">
        <f>if(isblank(A580),,if('RHS INPUT'!D580=1,Concatenate("class ",'RHS INPUT'!C580),))</f>
        <v>class rhsusf_100Rnd_556x45_soft_pouch</v>
      </c>
      <c r="D580" s="27" t="str">
        <f>if(ISBLANK(A580),,if('RHS INPUT'!D580=1,CONCATENATE("{quality = ",'RHS INPUT'!G580,"; price = ",Round('RHS INPUT'!M580),";};"),""))</f>
        <v>{quality = 1; price = 200;};</v>
      </c>
      <c r="E580" t="str">
        <f>IFERROR(__xludf.DUMMYFUNCTION("if(ISBLANK(A580),, if('RHS INPUT'!E580=1,CONCATENATE(CHAR(34),To_Text('RHS INPUT'!C580),CHAR(34),CHAR(44)),""""))"),"""rhsusf_100Rnd_556x45_soft_pouch"",")</f>
        <v>"rhsusf_100Rnd_556x45_soft_pouch",</v>
      </c>
      <c r="F580" s="28" t="str">
        <f>IF(isblank(A580) ,Concatenate("&gt; ",'RHS INPUT'!A580) , if('RHS INPUT'!F580=1,CONCATENATE(round('RHS INPUT'!N580),Char(44)," ",'RHS INPUT'!C580),""))</f>
        <v>33, rhsusf_100Rnd_556x45_soft_pouch</v>
      </c>
    </row>
    <row r="581" ht="12.0" customHeight="1">
      <c r="A581" s="1" t="str">
        <f>IFERROR(__xludf.DUMMYFUNCTION("if(ISBLANK('RHS INPUT'!C581),,CONCATENATE(CHAR(34),To_Text('RHS INPUT'!C581),CHAR(34),CHAR(44)))"),"""rhsusf_200Rnd_556x45_soft_pouch"",")</f>
        <v>"rhsusf_200Rnd_556x45_soft_pouch",</v>
      </c>
      <c r="B581" s="18" t="str">
        <f>if(isblank('RHS INPUT'!A581),,CONCATENATE("/*  ",'RHS INPUT'!A581,"  */"))</f>
        <v/>
      </c>
      <c r="C581" s="22" t="str">
        <f>if(isblank(A581),,if('RHS INPUT'!D581=1,Concatenate("class ",'RHS INPUT'!C581),))</f>
        <v>class rhsusf_200Rnd_556x45_soft_pouch</v>
      </c>
      <c r="D581" s="27" t="str">
        <f>if(ISBLANK(A581),,if('RHS INPUT'!D581=1,CONCATENATE("{quality = ",'RHS INPUT'!G581,"; price = ",Round('RHS INPUT'!M581),";};"),""))</f>
        <v>{quality = 1; price = 400;};</v>
      </c>
      <c r="E581" t="str">
        <f>IFERROR(__xludf.DUMMYFUNCTION("if(ISBLANK(A581),, if('RHS INPUT'!E581=1,CONCATENATE(CHAR(34),To_Text('RHS INPUT'!C581),CHAR(34),CHAR(44)),""""))"),"""rhsusf_200Rnd_556x45_soft_pouch"",")</f>
        <v>"rhsusf_200Rnd_556x45_soft_pouch",</v>
      </c>
      <c r="F581" s="28" t="str">
        <f>IF(isblank(A581) ,Concatenate("&gt; ",'RHS INPUT'!A581) , if('RHS INPUT'!F581=1,CONCATENATE(round('RHS INPUT'!N581),Char(44)," ",'RHS INPUT'!C581),""))</f>
        <v>20, rhsusf_200Rnd_556x45_soft_pouch</v>
      </c>
    </row>
    <row r="582" ht="12.0" customHeight="1">
      <c r="A582" s="1" t="str">
        <f>IFERROR(__xludf.DUMMYFUNCTION("if(ISBLANK('RHS INPUT'!C582),,CONCATENATE(CHAR(34),To_Text('RHS INPUT'!C582),CHAR(34),CHAR(44)))"),"""rhsusf_50Rnd_762x51"",")</f>
        <v>"rhsusf_50Rnd_762x51",</v>
      </c>
      <c r="B582" s="18" t="str">
        <f>if(isblank('RHS INPUT'!A582),,CONCATENATE("/*  ",'RHS INPUT'!A582,"  */"))</f>
        <v/>
      </c>
      <c r="C582" s="22" t="str">
        <f>if(isblank(A582),,if('RHS INPUT'!D582=1,Concatenate("class ",'RHS INPUT'!C582),))</f>
        <v>class rhsusf_50Rnd_762x51</v>
      </c>
      <c r="D582" s="27" t="str">
        <f>if(ISBLANK(A582),,if('RHS INPUT'!D582=1,CONCATENATE("{quality = ",'RHS INPUT'!G582,"; price = ",Round('RHS INPUT'!M582),";};"),""))</f>
        <v>{quality = 2; price = 300;};</v>
      </c>
      <c r="E582" t="str">
        <f>IFERROR(__xludf.DUMMYFUNCTION("if(ISBLANK(A582),, if('RHS INPUT'!E582=1,CONCATENATE(CHAR(34),To_Text('RHS INPUT'!C582),CHAR(34),CHAR(44)),""""))"),"""rhsusf_50Rnd_762x51"",")</f>
        <v>"rhsusf_50Rnd_762x51",</v>
      </c>
      <c r="F582" s="28" t="str">
        <f>IF(isblank(A582) ,Concatenate("&gt; ",'RHS INPUT'!A582) , if('RHS INPUT'!F582=1,CONCATENATE(round('RHS INPUT'!N582),Char(44)," ",'RHS INPUT'!C582),""))</f>
        <v>25, rhsusf_50Rnd_762x51</v>
      </c>
    </row>
    <row r="583" ht="12.0" customHeight="1">
      <c r="A583" s="1" t="str">
        <f>IFERROR(__xludf.DUMMYFUNCTION("if(ISBLANK('RHS INPUT'!C583),,CONCATENATE(CHAR(34),To_Text('RHS INPUT'!C583),CHAR(34),CHAR(44)))"),"""rhsusf_50Rnd_762x51_m61_ap"",")</f>
        <v>"rhsusf_50Rnd_762x51_m61_ap",</v>
      </c>
      <c r="B583" s="18" t="str">
        <f>if(isblank('RHS INPUT'!A583),,CONCATENATE("/*  ",'RHS INPUT'!A583,"  */"))</f>
        <v/>
      </c>
      <c r="C583" s="22" t="str">
        <f>if(isblank(A583),,if('RHS INPUT'!D583=1,Concatenate("class ",'RHS INPUT'!C583),))</f>
        <v>class rhsusf_50Rnd_762x51_m61_ap</v>
      </c>
      <c r="D583" s="27" t="str">
        <f>if(ISBLANK(A583),,if('RHS INPUT'!D583=1,CONCATENATE("{quality = ",'RHS INPUT'!G583,"; price = ",Round('RHS INPUT'!M583),";};"),""))</f>
        <v>{quality = 2; price = 300;};</v>
      </c>
      <c r="E583" t="str">
        <f>IFERROR(__xludf.DUMMYFUNCTION("if(ISBLANK(A583),, if('RHS INPUT'!E583=1,CONCATENATE(CHAR(34),To_Text('RHS INPUT'!C583),CHAR(34),CHAR(44)),""""))"),"""rhsusf_50Rnd_762x51_m61_ap"",")</f>
        <v>"rhsusf_50Rnd_762x51_m61_ap",</v>
      </c>
      <c r="F583" s="28" t="str">
        <f>IF(isblank(A583) ,Concatenate("&gt; ",'RHS INPUT'!A583) , if('RHS INPUT'!F583=1,CONCATENATE(round('RHS INPUT'!N583),Char(44)," ",'RHS INPUT'!C583),""))</f>
        <v>25, rhsusf_50Rnd_762x51_m61_ap</v>
      </c>
    </row>
    <row r="584" ht="12.0" customHeight="1">
      <c r="A584" s="1" t="str">
        <f>IFERROR(__xludf.DUMMYFUNCTION("if(ISBLANK('RHS INPUT'!C584),,CONCATENATE(CHAR(34),To_Text('RHS INPUT'!C584),CHAR(34),CHAR(44)))"),"""rhsusf_50Rnd_762x51_m62_tracer"",")</f>
        <v>"rhsusf_50Rnd_762x51_m62_tracer",</v>
      </c>
      <c r="B584" s="18" t="str">
        <f>if(isblank('RHS INPUT'!A584),,CONCATENATE("/*  ",'RHS INPUT'!A584,"  */"))</f>
        <v/>
      </c>
      <c r="C584" s="22" t="str">
        <f>if(isblank(A584),,if('RHS INPUT'!D584=1,Concatenate("class ",'RHS INPUT'!C584),))</f>
        <v>class rhsusf_50Rnd_762x51_m62_tracer</v>
      </c>
      <c r="D584" s="27" t="str">
        <f>if(ISBLANK(A584),,if('RHS INPUT'!D584=1,CONCATENATE("{quality = ",'RHS INPUT'!G584,"; price = ",Round('RHS INPUT'!M584),";};"),""))</f>
        <v>{quality = 2; price = 300;};</v>
      </c>
      <c r="E584" t="str">
        <f>IFERROR(__xludf.DUMMYFUNCTION("if(ISBLANK(A584),, if('RHS INPUT'!E584=1,CONCATENATE(CHAR(34),To_Text('RHS INPUT'!C584),CHAR(34),CHAR(44)),""""))"),"""rhsusf_50Rnd_762x51_m62_tracer"",")</f>
        <v>"rhsusf_50Rnd_762x51_m62_tracer",</v>
      </c>
      <c r="F584" s="28" t="str">
        <f>IF(isblank(A584) ,Concatenate("&gt; ",'RHS INPUT'!A584) , if('RHS INPUT'!F584=1,CONCATENATE(round('RHS INPUT'!N584),Char(44)," ",'RHS INPUT'!C584),""))</f>
        <v>25, rhsusf_50Rnd_762x51_m62_tracer</v>
      </c>
    </row>
    <row r="585" ht="12.0" customHeight="1">
      <c r="A585" s="1" t="str">
        <f>IFERROR(__xludf.DUMMYFUNCTION("if(ISBLANK('RHS INPUT'!C585),,CONCATENATE(CHAR(34),To_Text('RHS INPUT'!C585),CHAR(34),CHAR(44)))"),"""rhsusf_50Rnd_762x51_m80a1epr"",")</f>
        <v>"rhsusf_50Rnd_762x51_m80a1epr",</v>
      </c>
      <c r="B585" s="18" t="str">
        <f>if(isblank('RHS INPUT'!A585),,CONCATENATE("/*  ",'RHS INPUT'!A585,"  */"))</f>
        <v/>
      </c>
      <c r="C585" s="22" t="str">
        <f>if(isblank(A585),,if('RHS INPUT'!D585=1,Concatenate("class ",'RHS INPUT'!C585),))</f>
        <v>class rhsusf_50Rnd_762x51_m80a1epr</v>
      </c>
      <c r="D585" s="27" t="str">
        <f>if(ISBLANK(A585),,if('RHS INPUT'!D585=1,CONCATENATE("{quality = ",'RHS INPUT'!G585,"; price = ",Round('RHS INPUT'!M585),";};"),""))</f>
        <v>{quality = 2; price = 300;};</v>
      </c>
      <c r="E585" t="str">
        <f>IFERROR(__xludf.DUMMYFUNCTION("if(ISBLANK(A585),, if('RHS INPUT'!E585=1,CONCATENATE(CHAR(34),To_Text('RHS INPUT'!C585),CHAR(34),CHAR(44)),""""))"),"""rhsusf_50Rnd_762x51_m80a1epr"",")</f>
        <v>"rhsusf_50Rnd_762x51_m80a1epr",</v>
      </c>
      <c r="F585" s="28" t="str">
        <f>IF(isblank(A585) ,Concatenate("&gt; ",'RHS INPUT'!A585) , if('RHS INPUT'!F585=1,CONCATENATE(round('RHS INPUT'!N585),Char(44)," ",'RHS INPUT'!C585),""))</f>
        <v>25, rhsusf_50Rnd_762x51_m80a1epr</v>
      </c>
    </row>
    <row r="586" ht="12.0" customHeight="1">
      <c r="A586" s="1" t="str">
        <f>IFERROR(__xludf.DUMMYFUNCTION("if(ISBLANK('RHS INPUT'!C586),,CONCATENATE(CHAR(34),To_Text('RHS INPUT'!C586),CHAR(34),CHAR(44)))"),"""rhsusf_100Rnd_762x51"",")</f>
        <v>"rhsusf_100Rnd_762x51",</v>
      </c>
      <c r="B586" s="18" t="str">
        <f>if(isblank('RHS INPUT'!A586),,CONCATENATE("/*  ",'RHS INPUT'!A586,"  */"))</f>
        <v/>
      </c>
      <c r="C586" s="22" t="str">
        <f>if(isblank(A586),,if('RHS INPUT'!D586=1,Concatenate("class ",'RHS INPUT'!C586),))</f>
        <v>class rhsusf_100Rnd_762x51</v>
      </c>
      <c r="D586" s="27" t="str">
        <f>if(ISBLANK(A586),,if('RHS INPUT'!D586=1,CONCATENATE("{quality = ",'RHS INPUT'!G586,"; price = ",Round('RHS INPUT'!M586),";};"),""))</f>
        <v>{quality = 2; price = 600;};</v>
      </c>
      <c r="E586" t="str">
        <f>IFERROR(__xludf.DUMMYFUNCTION("if(ISBLANK(A586),, if('RHS INPUT'!E586=1,CONCATENATE(CHAR(34),To_Text('RHS INPUT'!C586),CHAR(34),CHAR(44)),""""))"),"""rhsusf_100Rnd_762x51"",")</f>
        <v>"rhsusf_100Rnd_762x51",</v>
      </c>
      <c r="F586" s="28" t="str">
        <f>IF(isblank(A586) ,Concatenate("&gt; ",'RHS INPUT'!A586) , if('RHS INPUT'!F586=1,CONCATENATE(round('RHS INPUT'!N586),Char(44)," ",'RHS INPUT'!C586),""))</f>
        <v>14, rhsusf_100Rnd_762x51</v>
      </c>
    </row>
    <row r="587" ht="12.0" customHeight="1">
      <c r="A587" s="1" t="str">
        <f>IFERROR(__xludf.DUMMYFUNCTION("if(ISBLANK('RHS INPUT'!C587),,CONCATENATE(CHAR(34),To_Text('RHS INPUT'!C587),CHAR(34),CHAR(44)))"),"""rhsusf_100Rnd_762x51_m61_ap"",")</f>
        <v>"rhsusf_100Rnd_762x51_m61_ap",</v>
      </c>
      <c r="B587" s="18" t="str">
        <f>if(isblank('RHS INPUT'!A587),,CONCATENATE("/*  ",'RHS INPUT'!A587,"  */"))</f>
        <v/>
      </c>
      <c r="C587" s="22" t="str">
        <f>if(isblank(A587),,if('RHS INPUT'!D587=1,Concatenate("class ",'RHS INPUT'!C587),))</f>
        <v>class rhsusf_100Rnd_762x51_m61_ap</v>
      </c>
      <c r="D587" s="27" t="str">
        <f>if(ISBLANK(A587),,if('RHS INPUT'!D587=1,CONCATENATE("{quality = ",'RHS INPUT'!G587,"; price = ",Round('RHS INPUT'!M587),";};"),""))</f>
        <v>{quality = 2; price = 600;};</v>
      </c>
      <c r="E587" t="str">
        <f>IFERROR(__xludf.DUMMYFUNCTION("if(ISBLANK(A587),, if('RHS INPUT'!E587=1,CONCATENATE(CHAR(34),To_Text('RHS INPUT'!C587),CHAR(34),CHAR(44)),""""))"),"""rhsusf_100Rnd_762x51_m61_ap"",")</f>
        <v>"rhsusf_100Rnd_762x51_m61_ap",</v>
      </c>
      <c r="F587" s="28" t="str">
        <f>IF(isblank(A587) ,Concatenate("&gt; ",'RHS INPUT'!A587) , if('RHS INPUT'!F587=1,CONCATENATE(round('RHS INPUT'!N587),Char(44)," ",'RHS INPUT'!C587),""))</f>
        <v>14, rhsusf_100Rnd_762x51_m61_ap</v>
      </c>
    </row>
    <row r="588" ht="12.0" customHeight="1">
      <c r="A588" s="1" t="str">
        <f>IFERROR(__xludf.DUMMYFUNCTION("if(ISBLANK('RHS INPUT'!C588),,CONCATENATE(CHAR(34),To_Text('RHS INPUT'!C588),CHAR(34),CHAR(44)))"),"""rhsusf_100Rnd_762x51_m62_tracer"",")</f>
        <v>"rhsusf_100Rnd_762x51_m62_tracer",</v>
      </c>
      <c r="B588" s="18" t="str">
        <f>if(isblank('RHS INPUT'!A588),,CONCATENATE("/*  ",'RHS INPUT'!A588,"  */"))</f>
        <v/>
      </c>
      <c r="C588" s="22" t="str">
        <f>if(isblank(A588),,if('RHS INPUT'!D588=1,Concatenate("class ",'RHS INPUT'!C588),))</f>
        <v>class rhsusf_100Rnd_762x51_m62_tracer</v>
      </c>
      <c r="D588" s="27" t="str">
        <f>if(ISBLANK(A588),,if('RHS INPUT'!D588=1,CONCATENATE("{quality = ",'RHS INPUT'!G588,"; price = ",Round('RHS INPUT'!M588),";};"),""))</f>
        <v>{quality = 2; price = 600;};</v>
      </c>
      <c r="E588" t="str">
        <f>IFERROR(__xludf.DUMMYFUNCTION("if(ISBLANK(A588),, if('RHS INPUT'!E588=1,CONCATENATE(CHAR(34),To_Text('RHS INPUT'!C588),CHAR(34),CHAR(44)),""""))"),"""rhsusf_100Rnd_762x51_m62_tracer"",")</f>
        <v>"rhsusf_100Rnd_762x51_m62_tracer",</v>
      </c>
      <c r="F588" s="28" t="str">
        <f>IF(isblank(A588) ,Concatenate("&gt; ",'RHS INPUT'!A588) , if('RHS INPUT'!F588=1,CONCATENATE(round('RHS INPUT'!N588),Char(44)," ",'RHS INPUT'!C588),""))</f>
        <v>14, rhsusf_100Rnd_762x51_m62_tracer</v>
      </c>
    </row>
    <row r="589" ht="12.0" customHeight="1">
      <c r="A589" s="1" t="str">
        <f>IFERROR(__xludf.DUMMYFUNCTION("if(ISBLANK('RHS INPUT'!C589),,CONCATENATE(CHAR(34),To_Text('RHS INPUT'!C589),CHAR(34),CHAR(44)))"),"""rhsusf_100Rnd_762x51_m80a1epr"",")</f>
        <v>"rhsusf_100Rnd_762x51_m80a1epr",</v>
      </c>
      <c r="B589" s="18" t="str">
        <f>if(isblank('RHS INPUT'!A589),,CONCATENATE("/*  ",'RHS INPUT'!A589,"  */"))</f>
        <v/>
      </c>
      <c r="C589" s="22" t="str">
        <f>if(isblank(A589),,if('RHS INPUT'!D589=1,Concatenate("class ",'RHS INPUT'!C589),))</f>
        <v>class rhsusf_100Rnd_762x51_m80a1epr</v>
      </c>
      <c r="D589" s="27" t="str">
        <f>if(ISBLANK(A589),,if('RHS INPUT'!D589=1,CONCATENATE("{quality = ",'RHS INPUT'!G589,"; price = ",Round('RHS INPUT'!M589),";};"),""))</f>
        <v>{quality = 2; price = 600;};</v>
      </c>
      <c r="E589" t="str">
        <f>IFERROR(__xludf.DUMMYFUNCTION("if(ISBLANK(A589),, if('RHS INPUT'!E589=1,CONCATENATE(CHAR(34),To_Text('RHS INPUT'!C589),CHAR(34),CHAR(44)),""""))"),"""rhsusf_100Rnd_762x51_m80a1epr"",")</f>
        <v>"rhsusf_100Rnd_762x51_m80a1epr",</v>
      </c>
      <c r="F589" s="28" t="str">
        <f>IF(isblank(A589) ,Concatenate("&gt; ",'RHS INPUT'!A589) , if('RHS INPUT'!F589=1,CONCATENATE(round('RHS INPUT'!N589),Char(44)," ",'RHS INPUT'!C589),""))</f>
        <v>14, rhsusf_100Rnd_762x51_m80a1epr</v>
      </c>
    </row>
    <row r="590" ht="12.0" customHeight="1">
      <c r="A590" s="1" t="str">
        <f>IFERROR(__xludf.DUMMYFUNCTION("if(ISBLANK('RHS INPUT'!C590),,CONCATENATE(CHAR(34),To_Text('RHS INPUT'!C590),CHAR(34),CHAR(44)))"),"""rhsusf_50Rnd_762x51_m993"",")</f>
        <v>"rhsusf_50Rnd_762x51_m993",</v>
      </c>
      <c r="B590" s="18" t="str">
        <f>if(isblank('RHS INPUT'!A590),,CONCATENATE("/*  ",'RHS INPUT'!A590,"  */"))</f>
        <v/>
      </c>
      <c r="C590" s="22" t="str">
        <f>if(isblank(A590),,if('RHS INPUT'!D590=1,Concatenate("class ",'RHS INPUT'!C590),))</f>
        <v>class rhsusf_50Rnd_762x51_m993</v>
      </c>
      <c r="D590" s="27" t="str">
        <f>if(ISBLANK(A590),,if('RHS INPUT'!D590=1,CONCATENATE("{quality = ",'RHS INPUT'!G590,"; price = ",Round('RHS INPUT'!M590),";};"),""))</f>
        <v>{quality = 2; price = 300;};</v>
      </c>
      <c r="E590" t="str">
        <f>IFERROR(__xludf.DUMMYFUNCTION("if(ISBLANK(A590),, if('RHS INPUT'!E590=1,CONCATENATE(CHAR(34),To_Text('RHS INPUT'!C590),CHAR(34),CHAR(44)),""""))"),"""rhsusf_50Rnd_762x51_m993"",")</f>
        <v>"rhsusf_50Rnd_762x51_m993",</v>
      </c>
      <c r="F590" s="28" t="str">
        <f>IF(isblank(A590) ,Concatenate("&gt; ",'RHS INPUT'!A590) , if('RHS INPUT'!F590=1,CONCATENATE(round('RHS INPUT'!N590),Char(44)," ",'RHS INPUT'!C590),""))</f>
        <v>25, rhsusf_50Rnd_762x51_m993</v>
      </c>
    </row>
    <row r="591" ht="12.0" customHeight="1">
      <c r="A591" s="1" t="str">
        <f>IFERROR(__xludf.DUMMYFUNCTION("if(ISBLANK('RHS INPUT'!C591),,CONCATENATE(CHAR(34),To_Text('RHS INPUT'!C591),CHAR(34),CHAR(44)))"),"""rhsusf_100Rnd_762x51_m993"",")</f>
        <v>"rhsusf_100Rnd_762x51_m993",</v>
      </c>
      <c r="B591" s="18" t="str">
        <f>if(isblank('RHS INPUT'!A591),,CONCATENATE("/*  ",'RHS INPUT'!A591,"  */"))</f>
        <v/>
      </c>
      <c r="C591" s="22" t="str">
        <f>if(isblank(A591),,if('RHS INPUT'!D591=1,Concatenate("class ",'RHS INPUT'!C591),))</f>
        <v>class rhsusf_100Rnd_762x51_m993</v>
      </c>
      <c r="D591" s="27" t="str">
        <f>if(ISBLANK(A591),,if('RHS INPUT'!D591=1,CONCATENATE("{quality = ",'RHS INPUT'!G591,"; price = ",Round('RHS INPUT'!M591),";};"),""))</f>
        <v>{quality = 2; price = 600;};</v>
      </c>
      <c r="E591" t="str">
        <f>IFERROR(__xludf.DUMMYFUNCTION("if(ISBLANK(A591),, if('RHS INPUT'!E591=1,CONCATENATE(CHAR(34),To_Text('RHS INPUT'!C591),CHAR(34),CHAR(44)),""""))"),"""rhsusf_100Rnd_762x51_m993"",")</f>
        <v>"rhsusf_100Rnd_762x51_m993",</v>
      </c>
      <c r="F591" s="28" t="str">
        <f>IF(isblank(A591) ,Concatenate("&gt; ",'RHS INPUT'!A591) , if('RHS INPUT'!F591=1,CONCATENATE(round('RHS INPUT'!N591),Char(44)," ",'RHS INPUT'!C591),""))</f>
        <v>14, rhsusf_100Rnd_762x51_m993</v>
      </c>
    </row>
    <row r="592" ht="12.0" customHeight="1">
      <c r="A592" s="1" t="str">
        <f>IFERROR(__xludf.DUMMYFUNCTION("if(ISBLANK('RHS INPUT'!C592),,CONCATENATE(CHAR(34),To_Text('RHS INPUT'!C592),CHAR(34),CHAR(44)))"),"""rhs_200rnd_556x45_M_SAW"",")</f>
        <v>"rhs_200rnd_556x45_M_SAW",</v>
      </c>
      <c r="B592" s="18" t="str">
        <f>if(isblank('RHS INPUT'!A592),,CONCATENATE("/*  ",'RHS INPUT'!A592,"  */"))</f>
        <v/>
      </c>
      <c r="C592" s="22" t="str">
        <f>if(isblank(A592),,if('RHS INPUT'!D592=1,Concatenate("class ",'RHS INPUT'!C592),))</f>
        <v>class rhs_200rnd_556x45_M_SAW</v>
      </c>
      <c r="D592" s="27" t="str">
        <f>if(ISBLANK(A592),,if('RHS INPUT'!D592=1,CONCATENATE("{quality = ",'RHS INPUT'!G592,"; price = ",Round('RHS INPUT'!M592),";};"),""))</f>
        <v>{quality = 1; price = 400;};</v>
      </c>
      <c r="E592" t="str">
        <f>IFERROR(__xludf.DUMMYFUNCTION("if(ISBLANK(A592),, if('RHS INPUT'!E592=1,CONCATENATE(CHAR(34),To_Text('RHS INPUT'!C592),CHAR(34),CHAR(44)),""""))"),"""rhs_200rnd_556x45_M_SAW"",")</f>
        <v>"rhs_200rnd_556x45_M_SAW",</v>
      </c>
      <c r="F592" s="28" t="str">
        <f>IF(isblank(A592) ,Concatenate("&gt; ",'RHS INPUT'!A592) , if('RHS INPUT'!F592=1,CONCATENATE(round('RHS INPUT'!N592),Char(44)," ",'RHS INPUT'!C592),""))</f>
        <v>20, rhs_200rnd_556x45_M_SAW</v>
      </c>
    </row>
    <row r="593" ht="12.0" customHeight="1">
      <c r="A593" s="1" t="str">
        <f>IFERROR(__xludf.DUMMYFUNCTION("if(ISBLANK('RHS INPUT'!C593),,CONCATENATE(CHAR(34),To_Text('RHS INPUT'!C593),CHAR(34),CHAR(44)))"),"""rhs_200rnd_556x45_T_SAW"",")</f>
        <v>"rhs_200rnd_556x45_T_SAW",</v>
      </c>
      <c r="B593" s="18" t="str">
        <f>if(isblank('RHS INPUT'!A593),,CONCATENATE("/*  ",'RHS INPUT'!A593,"  */"))</f>
        <v/>
      </c>
      <c r="C593" s="22" t="str">
        <f>if(isblank(A593),,if('RHS INPUT'!D593=1,Concatenate("class ",'RHS INPUT'!C593),))</f>
        <v>class rhs_200rnd_556x45_T_SAW</v>
      </c>
      <c r="D593" s="27" t="str">
        <f>if(ISBLANK(A593),,if('RHS INPUT'!D593=1,CONCATENATE("{quality = ",'RHS INPUT'!G593,"; price = ",Round('RHS INPUT'!M593),";};"),""))</f>
        <v>{quality = 1; price = 400;};</v>
      </c>
      <c r="E593" t="str">
        <f>IFERROR(__xludf.DUMMYFUNCTION("if(ISBLANK(A593),, if('RHS INPUT'!E593=1,CONCATENATE(CHAR(34),To_Text('RHS INPUT'!C593),CHAR(34),CHAR(44)),""""))"),"""rhs_200rnd_556x45_T_SAW"",")</f>
        <v>"rhs_200rnd_556x45_T_SAW",</v>
      </c>
      <c r="F593" s="28" t="str">
        <f>IF(isblank(A593) ,Concatenate("&gt; ",'RHS INPUT'!A593) , if('RHS INPUT'!F593=1,CONCATENATE(round('RHS INPUT'!N593),Char(44)," ",'RHS INPUT'!C593),""))</f>
        <v>20, rhs_200rnd_556x45_T_SAW</v>
      </c>
    </row>
    <row r="594" ht="12.0" customHeight="1">
      <c r="A594" s="1" t="str">
        <f>IFERROR(__xludf.DUMMYFUNCTION("if(ISBLANK('RHS INPUT'!C594),,CONCATENATE(CHAR(34),To_Text('RHS INPUT'!C594),CHAR(34),CHAR(44)))"),"""rhs_200rnd_556x45_B_SAW"",")</f>
        <v>"rhs_200rnd_556x45_B_SAW",</v>
      </c>
      <c r="B594" s="18" t="str">
        <f>if(isblank('RHS INPUT'!A594),,CONCATENATE("/*  ",'RHS INPUT'!A594,"  */"))</f>
        <v/>
      </c>
      <c r="C594" s="22" t="str">
        <f>if(isblank(A594),,if('RHS INPUT'!D594=1,Concatenate("class ",'RHS INPUT'!C594),))</f>
        <v>class rhs_200rnd_556x45_B_SAW</v>
      </c>
      <c r="D594" s="27" t="str">
        <f>if(ISBLANK(A594),,if('RHS INPUT'!D594=1,CONCATENATE("{quality = ",'RHS INPUT'!G594,"; price = ",Round('RHS INPUT'!M594),";};"),""))</f>
        <v>{quality = 1; price = 400;};</v>
      </c>
      <c r="E594" t="str">
        <f>IFERROR(__xludf.DUMMYFUNCTION("if(ISBLANK(A594),, if('RHS INPUT'!E594=1,CONCATENATE(CHAR(34),To_Text('RHS INPUT'!C594),CHAR(34),CHAR(44)),""""))"),"""rhs_200rnd_556x45_B_SAW"",")</f>
        <v>"rhs_200rnd_556x45_B_SAW",</v>
      </c>
      <c r="F594" s="28" t="str">
        <f>IF(isblank(A594) ,Concatenate("&gt; ",'RHS INPUT'!A594) , if('RHS INPUT'!F594=1,CONCATENATE(round('RHS INPUT'!N594),Char(44)," ",'RHS INPUT'!C594),""))</f>
        <v>20, rhs_200rnd_556x45_B_SAW</v>
      </c>
    </row>
    <row r="595" ht="12.0" customHeight="1">
      <c r="A595" s="1" t="str">
        <f>IFERROR(__xludf.DUMMYFUNCTION("if(ISBLANK('RHS INPUT'!C595),,CONCATENATE(CHAR(34),To_Text('RHS INPUT'!C595),CHAR(34),CHAR(44)))"),"")</f>
        <v/>
      </c>
      <c r="B595" s="18" t="str">
        <f>if(isblank('RHS INPUT'!A595),,CONCATENATE("/*  ",'RHS INPUT'!A595,"  */"))</f>
        <v>/*  STATIC_MGS  */</v>
      </c>
      <c r="C595" s="22" t="str">
        <f>if(isblank(A595),,if('RHS INPUT'!D595=1,Concatenate("class ",'RHS INPUT'!C595),))</f>
        <v/>
      </c>
      <c r="D595" s="27" t="str">
        <f>if(ISBLANK(A595),,if('RHS INPUT'!D595=1,CONCATENATE("{quality = ",'RHS INPUT'!G595,"; price = ",Round('RHS INPUT'!M595),";};"),""))</f>
        <v/>
      </c>
      <c r="E595" t="str">
        <f>IFERROR(__xludf.DUMMYFUNCTION("if(ISBLANK(A595),, if('RHS INPUT'!E595=1,CONCATENATE(CHAR(34),To_Text('RHS INPUT'!C595),CHAR(34),CHAR(44)),""""))"),"")</f>
        <v/>
      </c>
      <c r="F595" s="28" t="str">
        <f>IF(isblank(A595) ,Concatenate("&gt; ",'RHS INPUT'!A595) , if('RHS INPUT'!F595=1,CONCATENATE(round('RHS INPUT'!N595),Char(44)," ",'RHS INPUT'!C595),""))</f>
        <v>&gt; STATIC_MGS</v>
      </c>
    </row>
    <row r="596" ht="12.0" customHeight="1">
      <c r="A596" s="1" t="str">
        <f>IFERROR(__xludf.DUMMYFUNCTION("if(ISBLANK('RHS INPUT'!C596),,CONCATENATE(CHAR(34),To_Text('RHS INPUT'!C596),CHAR(34),CHAR(44)))"),"""O_HMG_01_weapon_F"",")</f>
        <v>"O_HMG_01_weapon_F",</v>
      </c>
      <c r="B596" s="18" t="str">
        <f>if(isblank('RHS INPUT'!A596),,CONCATENATE("/*  ",'RHS INPUT'!A596,"  */"))</f>
        <v/>
      </c>
      <c r="C596" s="22" t="str">
        <f>if(isblank(A596),,if('RHS INPUT'!D596=1,Concatenate("class ",'RHS INPUT'!C596),))</f>
        <v>class O_HMG_01_weapon_F</v>
      </c>
      <c r="D596" s="27" t="str">
        <f>if(ISBLANK(A596),,if('RHS INPUT'!D596=1,CONCATENATE("{quality = ",'RHS INPUT'!G596,"; price = ",Round('RHS INPUT'!M596),";};"),""))</f>
        <v>{quality = 3; price = 9000;};</v>
      </c>
      <c r="E596" t="str">
        <f>IFERROR(__xludf.DUMMYFUNCTION("if(ISBLANK(A596),, if('RHS INPUT'!E596=1,CONCATENATE(CHAR(34),To_Text('RHS INPUT'!C596),CHAR(34),CHAR(44)),""""))"),"""O_HMG_01_weapon_F"",")</f>
        <v>"O_HMG_01_weapon_F",</v>
      </c>
      <c r="F596" s="28" t="str">
        <f>IF(isblank(A596) ,Concatenate("&gt; ",'RHS INPUT'!A596) , if('RHS INPUT'!F596=1,CONCATENATE(round('RHS INPUT'!N596),Char(44)," ",'RHS INPUT'!C596),""))</f>
        <v>1, O_HMG_01_weapon_F</v>
      </c>
    </row>
    <row r="597" ht="12.0" customHeight="1">
      <c r="A597" s="1" t="str">
        <f>IFERROR(__xludf.DUMMYFUNCTION("if(ISBLANK('RHS INPUT'!C597),,CONCATENATE(CHAR(34),To_Text('RHS INPUT'!C597),CHAR(34),CHAR(44)))"),"""O_HMG_01_support_F"",")</f>
        <v>"O_HMG_01_support_F",</v>
      </c>
      <c r="B597" s="18" t="str">
        <f>if(isblank('RHS INPUT'!A597),,CONCATENATE("/*  ",'RHS INPUT'!A597,"  */"))</f>
        <v/>
      </c>
      <c r="C597" s="22" t="str">
        <f>if(isblank(A597),,if('RHS INPUT'!D597=1,Concatenate("class ",'RHS INPUT'!C597),))</f>
        <v>class O_HMG_01_support_F</v>
      </c>
      <c r="D597" s="27" t="str">
        <f>if(ISBLANK(A597),,if('RHS INPUT'!D597=1,CONCATENATE("{quality = ",'RHS INPUT'!G597,"; price = ",Round('RHS INPUT'!M597),";};"),""))</f>
        <v>{quality = 1; price = 500;};</v>
      </c>
      <c r="E597" t="str">
        <f>IFERROR(__xludf.DUMMYFUNCTION("if(ISBLANK(A597),, if('RHS INPUT'!E597=1,CONCATENATE(CHAR(34),To_Text('RHS INPUT'!C597),CHAR(34),CHAR(44)),""""))"),"""O_HMG_01_support_F"",")</f>
        <v>"O_HMG_01_support_F",</v>
      </c>
      <c r="F597" s="28" t="str">
        <f>IF(isblank(A597) ,Concatenate("&gt; ",'RHS INPUT'!A597) , if('RHS INPUT'!F597=1,CONCATENATE(round('RHS INPUT'!N597),Char(44)," ",'RHS INPUT'!C597),""))</f>
        <v>17, O_HMG_01_support_F</v>
      </c>
    </row>
    <row r="598" ht="12.0" customHeight="1">
      <c r="A598" s="1" t="str">
        <f>IFERROR(__xludf.DUMMYFUNCTION("if(ISBLANK('RHS INPUT'!C598),,CONCATENATE(CHAR(34),To_Text('RHS INPUT'!C598),CHAR(34),CHAR(44)))"),"")</f>
        <v/>
      </c>
      <c r="B598" s="18" t="str">
        <f>if(isblank('RHS INPUT'!A598),,CONCATENATE("/*  ",'RHS INPUT'!A598,"  */"))</f>
        <v>/*  FLARES  */</v>
      </c>
      <c r="C598" s="22" t="str">
        <f>if(isblank(A598),,if('RHS INPUT'!D598=1,Concatenate("class ",'RHS INPUT'!C598),))</f>
        <v/>
      </c>
      <c r="D598" s="27" t="str">
        <f>if(ISBLANK(A598),,if('RHS INPUT'!D598=1,CONCATENATE("{quality = ",'RHS INPUT'!G598,"; price = ",Round('RHS INPUT'!M598),";};"),""))</f>
        <v/>
      </c>
      <c r="E598" t="str">
        <f>IFERROR(__xludf.DUMMYFUNCTION("if(ISBLANK(A598),, if('RHS INPUT'!E598=1,CONCATENATE(CHAR(34),To_Text('RHS INPUT'!C598),CHAR(34),CHAR(44)),""""))"),"")</f>
        <v/>
      </c>
      <c r="F598" s="28" t="str">
        <f>IF(isblank(A598) ,Concatenate("&gt; ",'RHS INPUT'!A598) , if('RHS INPUT'!F598=1,CONCATENATE(round('RHS INPUT'!N598),Char(44)," ",'RHS INPUT'!C598),""))</f>
        <v>&gt; FLARES</v>
      </c>
    </row>
    <row r="599" ht="12.0" customHeight="1">
      <c r="A599" s="1" t="str">
        <f>IFERROR(__xludf.DUMMYFUNCTION("if(ISBLANK('RHS INPUT'!C599),,CONCATENATE(CHAR(34),To_Text('RHS INPUT'!C599),CHAR(34),CHAR(44)))"),"""Chemlight_blue"",")</f>
        <v>"Chemlight_blue",</v>
      </c>
      <c r="B599" s="18" t="str">
        <f>if(isblank('RHS INPUT'!A599),,CONCATENATE("/*  ",'RHS INPUT'!A599,"  */"))</f>
        <v/>
      </c>
      <c r="C599" s="22" t="str">
        <f>if(isblank(A599),,if('RHS INPUT'!D599=1,Concatenate("class ",'RHS INPUT'!C599),))</f>
        <v>class Chemlight_blue</v>
      </c>
      <c r="D599" s="27" t="str">
        <f>if(ISBLANK(A599),,if('RHS INPUT'!D599=1,CONCATENATE("{quality = ",'RHS INPUT'!G599,"; price = ",Round('RHS INPUT'!M599),";};"),""))</f>
        <v>{quality = 1; price = 50;};</v>
      </c>
      <c r="E599" t="str">
        <f>IFERROR(__xludf.DUMMYFUNCTION("if(ISBLANK(A599),, if('RHS INPUT'!E599=1,CONCATENATE(CHAR(34),To_Text('RHS INPUT'!C599),CHAR(34),CHAR(44)),""""))"),"""Chemlight_blue"",")</f>
        <v>"Chemlight_blue",</v>
      </c>
      <c r="F599" s="28" t="str">
        <f>IF(isblank(A599) ,Concatenate("&gt; ",'RHS INPUT'!A599) , if('RHS INPUT'!F599=1,CONCATENATE(round('RHS INPUT'!N599),Char(44)," ",'RHS INPUT'!C599),""))</f>
        <v>67, Chemlight_blue</v>
      </c>
    </row>
    <row r="600" ht="12.0" customHeight="1">
      <c r="A600" s="1" t="str">
        <f>IFERROR(__xludf.DUMMYFUNCTION("if(ISBLANK('RHS INPUT'!C600),,CONCATENATE(CHAR(34),To_Text('RHS INPUT'!C600),CHAR(34),CHAR(44)))"),"""Chemlight_green"",")</f>
        <v>"Chemlight_green",</v>
      </c>
      <c r="B600" s="18" t="str">
        <f>if(isblank('RHS INPUT'!A600),,CONCATENATE("/*  ",'RHS INPUT'!A600,"  */"))</f>
        <v/>
      </c>
      <c r="C600" s="22" t="str">
        <f>if(isblank(A600),,if('RHS INPUT'!D600=1,Concatenate("class ",'RHS INPUT'!C600),))</f>
        <v>class Chemlight_green</v>
      </c>
      <c r="D600" s="27" t="str">
        <f>if(ISBLANK(A600),,if('RHS INPUT'!D600=1,CONCATENATE("{quality = ",'RHS INPUT'!G600,"; price = ",Round('RHS INPUT'!M600),";};"),""))</f>
        <v>{quality = 1; price = 50;};</v>
      </c>
      <c r="E600" t="str">
        <f>IFERROR(__xludf.DUMMYFUNCTION("if(ISBLANK(A600),, if('RHS INPUT'!E600=1,CONCATENATE(CHAR(34),To_Text('RHS INPUT'!C600),CHAR(34),CHAR(44)),""""))"),"""Chemlight_green"",")</f>
        <v>"Chemlight_green",</v>
      </c>
      <c r="F600" s="28" t="str">
        <f>IF(isblank(A600) ,Concatenate("&gt; ",'RHS INPUT'!A600) , if('RHS INPUT'!F600=1,CONCATENATE(round('RHS INPUT'!N600),Char(44)," ",'RHS INPUT'!C600),""))</f>
        <v>67, Chemlight_green</v>
      </c>
    </row>
    <row r="601" ht="12.0" customHeight="1">
      <c r="A601" s="1" t="str">
        <f>IFERROR(__xludf.DUMMYFUNCTION("if(ISBLANK('RHS INPUT'!C601),,CONCATENATE(CHAR(34),To_Text('RHS INPUT'!C601),CHAR(34),CHAR(44)))"),"""Chemlight_red"",")</f>
        <v>"Chemlight_red",</v>
      </c>
      <c r="B601" s="18" t="str">
        <f>if(isblank('RHS INPUT'!A601),,CONCATENATE("/*  ",'RHS INPUT'!A601,"  */"))</f>
        <v/>
      </c>
      <c r="C601" s="22" t="str">
        <f>if(isblank(A601),,if('RHS INPUT'!D601=1,Concatenate("class ",'RHS INPUT'!C601),))</f>
        <v>class Chemlight_red</v>
      </c>
      <c r="D601" s="27" t="str">
        <f>if(ISBLANK(A601),,if('RHS INPUT'!D601=1,CONCATENATE("{quality = ",'RHS INPUT'!G601,"; price = ",Round('RHS INPUT'!M601),";};"),""))</f>
        <v>{quality = 1; price = 50;};</v>
      </c>
      <c r="E601" t="str">
        <f>IFERROR(__xludf.DUMMYFUNCTION("if(ISBLANK(A601),, if('RHS INPUT'!E601=1,CONCATENATE(CHAR(34),To_Text('RHS INPUT'!C601),CHAR(34),CHAR(44)),""""))"),"""Chemlight_red"",")</f>
        <v>"Chemlight_red",</v>
      </c>
      <c r="F601" s="28" t="str">
        <f>IF(isblank(A601) ,Concatenate("&gt; ",'RHS INPUT'!A601) , if('RHS INPUT'!F601=1,CONCATENATE(round('RHS INPUT'!N601),Char(44)," ",'RHS INPUT'!C601),""))</f>
        <v>67, Chemlight_red</v>
      </c>
    </row>
    <row r="602" ht="12.0" customHeight="1">
      <c r="A602" s="1" t="str">
        <f>IFERROR(__xludf.DUMMYFUNCTION("if(ISBLANK('RHS INPUT'!C602),,CONCATENATE(CHAR(34),To_Text('RHS INPUT'!C602),CHAR(34),CHAR(44)))"),"""FlareGreen_F"",")</f>
        <v>"FlareGreen_F",</v>
      </c>
      <c r="B602" s="18" t="str">
        <f>if(isblank('RHS INPUT'!A602),,CONCATENATE("/*  ",'RHS INPUT'!A602,"  */"))</f>
        <v/>
      </c>
      <c r="C602" s="22" t="str">
        <f>if(isblank(A602),,if('RHS INPUT'!D602=1,Concatenate("class ",'RHS INPUT'!C602),))</f>
        <v>class FlareGreen_F</v>
      </c>
      <c r="D602" s="27" t="str">
        <f>if(ISBLANK(A602),,if('RHS INPUT'!D602=1,CONCATENATE("{quality = ",'RHS INPUT'!G602,"; price = ",Round('RHS INPUT'!M602),";};"),""))</f>
        <v>{quality = 1; price = 50;};</v>
      </c>
      <c r="E602" t="str">
        <f>IFERROR(__xludf.DUMMYFUNCTION("if(ISBLANK(A602),, if('RHS INPUT'!E602=1,CONCATENATE(CHAR(34),To_Text('RHS INPUT'!C602),CHAR(34),CHAR(44)),""""))"),"""FlareGreen_F"",")</f>
        <v>"FlareGreen_F",</v>
      </c>
      <c r="F602" s="28" t="str">
        <f>IF(isblank(A602) ,Concatenate("&gt; ",'RHS INPUT'!A602) , if('RHS INPUT'!F602=1,CONCATENATE(round('RHS INPUT'!N602),Char(44)," ",'RHS INPUT'!C602),""))</f>
        <v>67, FlareGreen_F</v>
      </c>
    </row>
    <row r="603" ht="12.0" customHeight="1">
      <c r="A603" s="1" t="str">
        <f>IFERROR(__xludf.DUMMYFUNCTION("if(ISBLANK('RHS INPUT'!C603),,CONCATENATE(CHAR(34),To_Text('RHS INPUT'!C603),CHAR(34),CHAR(44)))"),"""FlareRed_F"",")</f>
        <v>"FlareRed_F",</v>
      </c>
      <c r="B603" s="18" t="str">
        <f>if(isblank('RHS INPUT'!A603),,CONCATENATE("/*  ",'RHS INPUT'!A603,"  */"))</f>
        <v/>
      </c>
      <c r="C603" s="22" t="str">
        <f>if(isblank(A603),,if('RHS INPUT'!D603=1,Concatenate("class ",'RHS INPUT'!C603),))</f>
        <v>class FlareRed_F</v>
      </c>
      <c r="D603" s="27" t="str">
        <f>if(ISBLANK(A603),,if('RHS INPUT'!D603=1,CONCATENATE("{quality = ",'RHS INPUT'!G603,"; price = ",Round('RHS INPUT'!M603),";};"),""))</f>
        <v>{quality = 1; price = 50;};</v>
      </c>
      <c r="E603" t="str">
        <f>IFERROR(__xludf.DUMMYFUNCTION("if(ISBLANK(A603),, if('RHS INPUT'!E603=1,CONCATENATE(CHAR(34),To_Text('RHS INPUT'!C603),CHAR(34),CHAR(44)),""""))"),"""FlareRed_F"",")</f>
        <v>"FlareRed_F",</v>
      </c>
      <c r="F603" s="28" t="str">
        <f>IF(isblank(A603) ,Concatenate("&gt; ",'RHS INPUT'!A603) , if('RHS INPUT'!F603=1,CONCATENATE(round('RHS INPUT'!N603),Char(44)," ",'RHS INPUT'!C603),""))</f>
        <v>67, FlareRed_F</v>
      </c>
    </row>
    <row r="604" ht="12.0" customHeight="1">
      <c r="A604" s="1" t="str">
        <f>IFERROR(__xludf.DUMMYFUNCTION("if(ISBLANK('RHS INPUT'!C604),,CONCATENATE(CHAR(34),To_Text('RHS INPUT'!C604),CHAR(34),CHAR(44)))"),"""FlareWhite_F"",")</f>
        <v>"FlareWhite_F",</v>
      </c>
      <c r="B604" s="18" t="str">
        <f>if(isblank('RHS INPUT'!A604),,CONCATENATE("/*  ",'RHS INPUT'!A604,"  */"))</f>
        <v/>
      </c>
      <c r="C604" s="22" t="str">
        <f>if(isblank(A604),,if('RHS INPUT'!D604=1,Concatenate("class ",'RHS INPUT'!C604),))</f>
        <v>class FlareWhite_F</v>
      </c>
      <c r="D604" s="27" t="str">
        <f>if(ISBLANK(A604),,if('RHS INPUT'!D604=1,CONCATENATE("{quality = ",'RHS INPUT'!G604,"; price = ",Round('RHS INPUT'!M604),";};"),""))</f>
        <v>{quality = 1; price = 50;};</v>
      </c>
      <c r="E604" t="str">
        <f>IFERROR(__xludf.DUMMYFUNCTION("if(ISBLANK(A604),, if('RHS INPUT'!E604=1,CONCATENATE(CHAR(34),To_Text('RHS INPUT'!C604),CHAR(34),CHAR(44)),""""))"),"""FlareWhite_F"",")</f>
        <v>"FlareWhite_F",</v>
      </c>
      <c r="F604" s="28" t="str">
        <f>IF(isblank(A604) ,Concatenate("&gt; ",'RHS INPUT'!A604) , if('RHS INPUT'!F604=1,CONCATENATE(round('RHS INPUT'!N604),Char(44)," ",'RHS INPUT'!C604),""))</f>
        <v>67, FlareWhite_F</v>
      </c>
    </row>
    <row r="605" ht="12.0" customHeight="1">
      <c r="A605" s="1" t="str">
        <f>IFERROR(__xludf.DUMMYFUNCTION("if(ISBLANK('RHS INPUT'!C605),,CONCATENATE(CHAR(34),To_Text('RHS INPUT'!C605),CHAR(34),CHAR(44)))"),"""FlareYellow_F"",")</f>
        <v>"FlareYellow_F",</v>
      </c>
      <c r="B605" s="18" t="str">
        <f>if(isblank('RHS INPUT'!A605),,CONCATENATE("/*  ",'RHS INPUT'!A605,"  */"))</f>
        <v/>
      </c>
      <c r="C605" s="22" t="str">
        <f>if(isblank(A605),,if('RHS INPUT'!D605=1,Concatenate("class ",'RHS INPUT'!C605),))</f>
        <v>class FlareYellow_F</v>
      </c>
      <c r="D605" s="27" t="str">
        <f>if(ISBLANK(A605),,if('RHS INPUT'!D605=1,CONCATENATE("{quality = ",'RHS INPUT'!G605,"; price = ",Round('RHS INPUT'!M605),";};"),""))</f>
        <v>{quality = 1; price = 50;};</v>
      </c>
      <c r="E605" t="str">
        <f>IFERROR(__xludf.DUMMYFUNCTION("if(ISBLANK(A605),, if('RHS INPUT'!E605=1,CONCATENATE(CHAR(34),To_Text('RHS INPUT'!C605),CHAR(34),CHAR(44)),""""))"),"""FlareYellow_F"",")</f>
        <v>"FlareYellow_F",</v>
      </c>
      <c r="F605" s="28" t="str">
        <f>IF(isblank(A605) ,Concatenate("&gt; ",'RHS INPUT'!A605) , if('RHS INPUT'!F605=1,CONCATENATE(round('RHS INPUT'!N605),Char(44)," ",'RHS INPUT'!C605),""))</f>
        <v>67, FlareYellow_F</v>
      </c>
    </row>
    <row r="606" ht="12.0" customHeight="1">
      <c r="A606" s="1" t="str">
        <f>IFERROR(__xludf.DUMMYFUNCTION("if(ISBLANK('RHS INPUT'!C606),,CONCATENATE(CHAR(34),To_Text('RHS INPUT'!C606),CHAR(34),CHAR(44)))"),"""UGL_FlareGreen_F"",")</f>
        <v>"UGL_FlareGreen_F",</v>
      </c>
      <c r="B606" s="18" t="str">
        <f>if(isblank('RHS INPUT'!A606),,CONCATENATE("/*  ",'RHS INPUT'!A606,"  */"))</f>
        <v/>
      </c>
      <c r="C606" s="22" t="str">
        <f>if(isblank(A606),,if('RHS INPUT'!D606=1,Concatenate("class ",'RHS INPUT'!C606),))</f>
        <v>class UGL_FlareGreen_F</v>
      </c>
      <c r="D606" s="27" t="str">
        <f>if(ISBLANK(A606),,if('RHS INPUT'!D606=1,CONCATENATE("{quality = ",'RHS INPUT'!G606,"; price = ",Round('RHS INPUT'!M606),";};"),""))</f>
        <v>{quality = 2; price = 100;};</v>
      </c>
      <c r="E606" t="str">
        <f>IFERROR(__xludf.DUMMYFUNCTION("if(ISBLANK(A606),, if('RHS INPUT'!E606=1,CONCATENATE(CHAR(34),To_Text('RHS INPUT'!C606),CHAR(34),CHAR(44)),""""))"),"""UGL_FlareGreen_F"",")</f>
        <v>"UGL_FlareGreen_F",</v>
      </c>
      <c r="F606" s="28" t="str">
        <f>IF(isblank(A606) ,Concatenate("&gt; ",'RHS INPUT'!A606) , if('RHS INPUT'!F606=1,CONCATENATE(round('RHS INPUT'!N606),Char(44)," ",'RHS INPUT'!C606),""))</f>
        <v>50, UGL_FlareGreen_F</v>
      </c>
    </row>
    <row r="607" ht="12.0" customHeight="1">
      <c r="A607" s="1" t="str">
        <f>IFERROR(__xludf.DUMMYFUNCTION("if(ISBLANK('RHS INPUT'!C607),,CONCATENATE(CHAR(34),To_Text('RHS INPUT'!C607),CHAR(34),CHAR(44)))"),"""UGL_FlareRed_F"",")</f>
        <v>"UGL_FlareRed_F",</v>
      </c>
      <c r="B607" s="18" t="str">
        <f>if(isblank('RHS INPUT'!A607),,CONCATENATE("/*  ",'RHS INPUT'!A607,"  */"))</f>
        <v/>
      </c>
      <c r="C607" s="22" t="str">
        <f>if(isblank(A607),,if('RHS INPUT'!D607=1,Concatenate("class ",'RHS INPUT'!C607),))</f>
        <v>class UGL_FlareRed_F</v>
      </c>
      <c r="D607" s="27" t="str">
        <f>if(ISBLANK(A607),,if('RHS INPUT'!D607=1,CONCATENATE("{quality = ",'RHS INPUT'!G607,"; price = ",Round('RHS INPUT'!M607),";};"),""))</f>
        <v>{quality = 2; price = 100;};</v>
      </c>
      <c r="E607" t="str">
        <f>IFERROR(__xludf.DUMMYFUNCTION("if(ISBLANK(A607),, if('RHS INPUT'!E607=1,CONCATENATE(CHAR(34),To_Text('RHS INPUT'!C607),CHAR(34),CHAR(44)),""""))"),"""UGL_FlareRed_F"",")</f>
        <v>"UGL_FlareRed_F",</v>
      </c>
      <c r="F607" s="28" t="str">
        <f>IF(isblank(A607) ,Concatenate("&gt; ",'RHS INPUT'!A607) , if('RHS INPUT'!F607=1,CONCATENATE(round('RHS INPUT'!N607),Char(44)," ",'RHS INPUT'!C607),""))</f>
        <v>50, UGL_FlareRed_F</v>
      </c>
    </row>
    <row r="608" ht="12.0" customHeight="1">
      <c r="A608" s="1" t="str">
        <f>IFERROR(__xludf.DUMMYFUNCTION("if(ISBLANK('RHS INPUT'!C608),,CONCATENATE(CHAR(34),To_Text('RHS INPUT'!C608),CHAR(34),CHAR(44)))"),"""UGL_FlareWhite_F"",")</f>
        <v>"UGL_FlareWhite_F",</v>
      </c>
      <c r="B608" s="18" t="str">
        <f>if(isblank('RHS INPUT'!A608),,CONCATENATE("/*  ",'RHS INPUT'!A608,"  */"))</f>
        <v/>
      </c>
      <c r="C608" s="22" t="str">
        <f>if(isblank(A608),,if('RHS INPUT'!D608=1,Concatenate("class ",'RHS INPUT'!C608),))</f>
        <v>class UGL_FlareWhite_F</v>
      </c>
      <c r="D608" s="27" t="str">
        <f>if(ISBLANK(A608),,if('RHS INPUT'!D608=1,CONCATENATE("{quality = ",'RHS INPUT'!G608,"; price = ",Round('RHS INPUT'!M608),";};"),""))</f>
        <v>{quality = 2; price = 100;};</v>
      </c>
      <c r="E608" t="str">
        <f>IFERROR(__xludf.DUMMYFUNCTION("if(ISBLANK(A608),, if('RHS INPUT'!E608=1,CONCATENATE(CHAR(34),To_Text('RHS INPUT'!C608),CHAR(34),CHAR(44)),""""))"),"""UGL_FlareWhite_F"",")</f>
        <v>"UGL_FlareWhite_F",</v>
      </c>
      <c r="F608" s="28" t="str">
        <f>IF(isblank(A608) ,Concatenate("&gt; ",'RHS INPUT'!A608) , if('RHS INPUT'!F608=1,CONCATENATE(round('RHS INPUT'!N608),Char(44)," ",'RHS INPUT'!C608),""))</f>
        <v>50, UGL_FlareWhite_F</v>
      </c>
    </row>
    <row r="609" ht="12.0" customHeight="1">
      <c r="A609" s="1" t="str">
        <f>IFERROR(__xludf.DUMMYFUNCTION("if(ISBLANK('RHS INPUT'!C609),,CONCATENATE(CHAR(34),To_Text('RHS INPUT'!C609),CHAR(34),CHAR(44)))"),"""UGL_FlareYellow_F"",")</f>
        <v>"UGL_FlareYellow_F",</v>
      </c>
      <c r="B609" s="18" t="str">
        <f>if(isblank('RHS INPUT'!A609),,CONCATENATE("/*  ",'RHS INPUT'!A609,"  */"))</f>
        <v/>
      </c>
      <c r="C609" s="22" t="str">
        <f>if(isblank(A609),,if('RHS INPUT'!D609=1,Concatenate("class ",'RHS INPUT'!C609),))</f>
        <v>class UGL_FlareYellow_F</v>
      </c>
      <c r="D609" s="27" t="str">
        <f>if(ISBLANK(A609),,if('RHS INPUT'!D609=1,CONCATENATE("{quality = ",'RHS INPUT'!G609,"; price = ",Round('RHS INPUT'!M609),";};"),""))</f>
        <v>{quality = 2; price = 100;};</v>
      </c>
      <c r="E609" t="str">
        <f>IFERROR(__xludf.DUMMYFUNCTION("if(ISBLANK(A609),, if('RHS INPUT'!E609=1,CONCATENATE(CHAR(34),To_Text('RHS INPUT'!C609),CHAR(34),CHAR(44)),""""))"),"""UGL_FlareYellow_F"",")</f>
        <v>"UGL_FlareYellow_F",</v>
      </c>
      <c r="F609" s="28" t="str">
        <f>IF(isblank(A609) ,Concatenate("&gt; ",'RHS INPUT'!A609) , if('RHS INPUT'!F609=1,CONCATENATE(round('RHS INPUT'!N609),Char(44)," ",'RHS INPUT'!C609),""))</f>
        <v>50, UGL_FlareYellow_F</v>
      </c>
    </row>
    <row r="610" ht="12.0" customHeight="1">
      <c r="A610" s="1" t="str">
        <f>IFERROR(__xludf.DUMMYFUNCTION("if(ISBLANK('RHS INPUT'!C610),,CONCATENATE(CHAR(34),To_Text('RHS INPUT'!C610),CHAR(34),CHAR(44)))"),"""3Rnd_UGL_FlareGreen_F"",")</f>
        <v>"3Rnd_UGL_FlareGreen_F",</v>
      </c>
      <c r="B610" s="18" t="str">
        <f>if(isblank('RHS INPUT'!A610),,CONCATENATE("/*  ",'RHS INPUT'!A610,"  */"))</f>
        <v/>
      </c>
      <c r="C610" s="22" t="str">
        <f>if(isblank(A610),,if('RHS INPUT'!D610=1,Concatenate("class ",'RHS INPUT'!C610),))</f>
        <v>class 3Rnd_UGL_FlareGreen_F</v>
      </c>
      <c r="D610" s="27" t="str">
        <f>if(ISBLANK(A610),,if('RHS INPUT'!D610=1,CONCATENATE("{quality = ",'RHS INPUT'!G610,"; price = ",Round('RHS INPUT'!M610),";};"),""))</f>
        <v>{quality = 2; price = 300;};</v>
      </c>
      <c r="E610" t="str">
        <f>IFERROR(__xludf.DUMMYFUNCTION("if(ISBLANK(A610),, if('RHS INPUT'!E610=1,CONCATENATE(CHAR(34),To_Text('RHS INPUT'!C610),CHAR(34),CHAR(44)),""""))"),"""3Rnd_UGL_FlareGreen_F"",")</f>
        <v>"3Rnd_UGL_FlareGreen_F",</v>
      </c>
      <c r="F610" s="28" t="str">
        <f>IF(isblank(A610) ,Concatenate("&gt; ",'RHS INPUT'!A610) , if('RHS INPUT'!F610=1,CONCATENATE(round('RHS INPUT'!N610),Char(44)," ",'RHS INPUT'!C610),""))</f>
        <v>25, 3Rnd_UGL_FlareGreen_F</v>
      </c>
    </row>
    <row r="611" ht="12.0" customHeight="1">
      <c r="A611" s="1" t="str">
        <f>IFERROR(__xludf.DUMMYFUNCTION("if(ISBLANK('RHS INPUT'!C611),,CONCATENATE(CHAR(34),To_Text('RHS INPUT'!C611),CHAR(34),CHAR(44)))"),"""3Rnd_UGL_FlareRed_F"",")</f>
        <v>"3Rnd_UGL_FlareRed_F",</v>
      </c>
      <c r="B611" s="18" t="str">
        <f>if(isblank('RHS INPUT'!A611),,CONCATENATE("/*  ",'RHS INPUT'!A611,"  */"))</f>
        <v/>
      </c>
      <c r="C611" s="22" t="str">
        <f>if(isblank(A611),,if('RHS INPUT'!D611=1,Concatenate("class ",'RHS INPUT'!C611),))</f>
        <v>class 3Rnd_UGL_FlareRed_F</v>
      </c>
      <c r="D611" s="27" t="str">
        <f>if(ISBLANK(A611),,if('RHS INPUT'!D611=1,CONCATENATE("{quality = ",'RHS INPUT'!G611,"; price = ",Round('RHS INPUT'!M611),";};"),""))</f>
        <v>{quality = 2; price = 300;};</v>
      </c>
      <c r="E611" t="str">
        <f>IFERROR(__xludf.DUMMYFUNCTION("if(ISBLANK(A611),, if('RHS INPUT'!E611=1,CONCATENATE(CHAR(34),To_Text('RHS INPUT'!C611),CHAR(34),CHAR(44)),""""))"),"""3Rnd_UGL_FlareRed_F"",")</f>
        <v>"3Rnd_UGL_FlareRed_F",</v>
      </c>
      <c r="F611" s="28" t="str">
        <f>IF(isblank(A611) ,Concatenate("&gt; ",'RHS INPUT'!A611) , if('RHS INPUT'!F611=1,CONCATENATE(round('RHS INPUT'!N611),Char(44)," ",'RHS INPUT'!C611),""))</f>
        <v>25, 3Rnd_UGL_FlareRed_F</v>
      </c>
    </row>
    <row r="612" ht="12.0" customHeight="1">
      <c r="A612" s="1" t="str">
        <f>IFERROR(__xludf.DUMMYFUNCTION("if(ISBLANK('RHS INPUT'!C612),,CONCATENATE(CHAR(34),To_Text('RHS INPUT'!C612),CHAR(34),CHAR(44)))"),"""3Rnd_UGL_FlareWhite_F"",")</f>
        <v>"3Rnd_UGL_FlareWhite_F",</v>
      </c>
      <c r="B612" s="18" t="str">
        <f>if(isblank('RHS INPUT'!A612),,CONCATENATE("/*  ",'RHS INPUT'!A612,"  */"))</f>
        <v/>
      </c>
      <c r="C612" s="22" t="str">
        <f>if(isblank(A612),,if('RHS INPUT'!D612=1,Concatenate("class ",'RHS INPUT'!C612),))</f>
        <v>class 3Rnd_UGL_FlareWhite_F</v>
      </c>
      <c r="D612" s="27" t="str">
        <f>if(ISBLANK(A612),,if('RHS INPUT'!D612=1,CONCATENATE("{quality = ",'RHS INPUT'!G612,"; price = ",Round('RHS INPUT'!M612),";};"),""))</f>
        <v>{quality = 2; price = 300;};</v>
      </c>
      <c r="E612" t="str">
        <f>IFERROR(__xludf.DUMMYFUNCTION("if(ISBLANK(A612),, if('RHS INPUT'!E612=1,CONCATENATE(CHAR(34),To_Text('RHS INPUT'!C612),CHAR(34),CHAR(44)),""""))"),"""3Rnd_UGL_FlareWhite_F"",")</f>
        <v>"3Rnd_UGL_FlareWhite_F",</v>
      </c>
      <c r="F612" s="28" t="str">
        <f>IF(isblank(A612) ,Concatenate("&gt; ",'RHS INPUT'!A612) , if('RHS INPUT'!F612=1,CONCATENATE(round('RHS INPUT'!N612),Char(44)," ",'RHS INPUT'!C612),""))</f>
        <v>25, 3Rnd_UGL_FlareWhite_F</v>
      </c>
    </row>
    <row r="613" ht="12.0" customHeight="1">
      <c r="A613" s="1" t="str">
        <f>IFERROR(__xludf.DUMMYFUNCTION("if(ISBLANK('RHS INPUT'!C613),,CONCATENATE(CHAR(34),To_Text('RHS INPUT'!C613),CHAR(34),CHAR(44)))"),"""3Rnd_UGL_FlareYellow_F"",")</f>
        <v>"3Rnd_UGL_FlareYellow_F",</v>
      </c>
      <c r="B613" s="18" t="str">
        <f>if(isblank('RHS INPUT'!A613),,CONCATENATE("/*  ",'RHS INPUT'!A613,"  */"))</f>
        <v/>
      </c>
      <c r="C613" s="22" t="str">
        <f>if(isblank(A613),,if('RHS INPUT'!D613=1,Concatenate("class ",'RHS INPUT'!C613),))</f>
        <v>class 3Rnd_UGL_FlareYellow_F</v>
      </c>
      <c r="D613" s="27" t="str">
        <f>if(ISBLANK(A613),,if('RHS INPUT'!D613=1,CONCATENATE("{quality = ",'RHS INPUT'!G613,"; price = ",Round('RHS INPUT'!M613),";};"),""))</f>
        <v>{quality = 2; price = 300;};</v>
      </c>
      <c r="E613" t="str">
        <f>IFERROR(__xludf.DUMMYFUNCTION("if(ISBLANK(A613),, if('RHS INPUT'!E613=1,CONCATENATE(CHAR(34),To_Text('RHS INPUT'!C613),CHAR(34),CHAR(44)),""""))"),"""3Rnd_UGL_FlareYellow_F"",")</f>
        <v>"3Rnd_UGL_FlareYellow_F",</v>
      </c>
      <c r="F613" s="28" t="str">
        <f>IF(isblank(A613) ,Concatenate("&gt; ",'RHS INPUT'!A613) , if('RHS INPUT'!F613=1,CONCATENATE(round('RHS INPUT'!N613),Char(44)," ",'RHS INPUT'!C613),""))</f>
        <v>25, 3Rnd_UGL_FlareYellow_F</v>
      </c>
    </row>
    <row r="614" ht="12.0" customHeight="1">
      <c r="A614" s="1" t="str">
        <f>IFERROR(__xludf.DUMMYFUNCTION("if(ISBLANK('RHS INPUT'!C614),,CONCATENATE(CHAR(34),To_Text('RHS INPUT'!C614),CHAR(34),CHAR(44)))"),"""rhs_VG400P_white"",")</f>
        <v>"rhs_VG400P_white",</v>
      </c>
      <c r="B614" s="18" t="str">
        <f>if(isblank('RHS INPUT'!A614),,CONCATENATE("/*  ",'RHS INPUT'!A614,"  */"))</f>
        <v>/*  Broken  */</v>
      </c>
      <c r="C614" s="22" t="str">
        <f>if(isblank(A614),,if('RHS INPUT'!D614=1,Concatenate("class ",'RHS INPUT'!C614),))</f>
        <v>class rhs_VG400P_white</v>
      </c>
      <c r="D614" s="27" t="str">
        <f>if(ISBLANK(A614),,if('RHS INPUT'!D614=1,CONCATENATE("{quality = ",'RHS INPUT'!G614,"; price = ",Round('RHS INPUT'!M614),";};"),""))</f>
        <v>{quality = 1; price = 50;};</v>
      </c>
      <c r="E614" t="str">
        <f>IFERROR(__xludf.DUMMYFUNCTION("if(ISBLANK(A614),, if('RHS INPUT'!E614=1,CONCATENATE(CHAR(34),To_Text('RHS INPUT'!C614),CHAR(34),CHAR(44)),""""))"),"")</f>
        <v/>
      </c>
      <c r="F614" s="28" t="str">
        <f>IF(isblank(A614) ,Concatenate("&gt; ",'RHS INPUT'!A614) , if('RHS INPUT'!F614=1,CONCATENATE(round('RHS INPUT'!N614),Char(44)," ",'RHS INPUT'!C614),""))</f>
        <v>67, rhs_VG400P_white</v>
      </c>
    </row>
    <row r="615" ht="12.0" customHeight="1">
      <c r="A615" s="1" t="str">
        <f>IFERROR(__xludf.DUMMYFUNCTION("if(ISBLANK('RHS INPUT'!C615),,CONCATENATE(CHAR(34),To_Text('RHS INPUT'!C615),CHAR(34),CHAR(44)))"),"""rhs_VG400P_green"",")</f>
        <v>"rhs_VG400P_green",</v>
      </c>
      <c r="B615" s="18" t="str">
        <f>if(isblank('RHS INPUT'!A615),,CONCATENATE("/*  ",'RHS INPUT'!A615,"  */"))</f>
        <v>/*  Broken  */</v>
      </c>
      <c r="C615" s="22" t="str">
        <f>if(isblank(A615),,if('RHS INPUT'!D615=1,Concatenate("class ",'RHS INPUT'!C615),))</f>
        <v>class rhs_VG400P_green</v>
      </c>
      <c r="D615" s="27" t="str">
        <f>if(ISBLANK(A615),,if('RHS INPUT'!D615=1,CONCATENATE("{quality = ",'RHS INPUT'!G615,"; price = ",Round('RHS INPUT'!M615),";};"),""))</f>
        <v>{quality = 1; price = 50;};</v>
      </c>
      <c r="E615" t="str">
        <f>IFERROR(__xludf.DUMMYFUNCTION("if(ISBLANK(A615),, if('RHS INPUT'!E615=1,CONCATENATE(CHAR(34),To_Text('RHS INPUT'!C615),CHAR(34),CHAR(44)),""""))"),"")</f>
        <v/>
      </c>
      <c r="F615" s="28" t="str">
        <f>IF(isblank(A615) ,Concatenate("&gt; ",'RHS INPUT'!A615) , if('RHS INPUT'!F615=1,CONCATENATE(round('RHS INPUT'!N615),Char(44)," ",'RHS INPUT'!C615),""))</f>
        <v>67, rhs_VG400P_green</v>
      </c>
    </row>
    <row r="616" ht="12.0" customHeight="1">
      <c r="A616" s="1" t="str">
        <f>IFERROR(__xludf.DUMMYFUNCTION("if(ISBLANK('RHS INPUT'!C616),,CONCATENATE(CHAR(34),To_Text('RHS INPUT'!C616),CHAR(34),CHAR(44)))"),"""rhs_VG400P_red"",")</f>
        <v>"rhs_VG400P_red",</v>
      </c>
      <c r="B616" s="18" t="str">
        <f>if(isblank('RHS INPUT'!A616),,CONCATENATE("/*  ",'RHS INPUT'!A616,"  */"))</f>
        <v>/*  Broken  */</v>
      </c>
      <c r="C616" s="22" t="str">
        <f>if(isblank(A616),,if('RHS INPUT'!D616=1,Concatenate("class ",'RHS INPUT'!C616),))</f>
        <v>class rhs_VG400P_red</v>
      </c>
      <c r="D616" s="27" t="str">
        <f>if(ISBLANK(A616),,if('RHS INPUT'!D616=1,CONCATENATE("{quality = ",'RHS INPUT'!G616,"; price = ",Round('RHS INPUT'!M616),";};"),""))</f>
        <v>{quality = 1; price = 50;};</v>
      </c>
      <c r="E616" t="str">
        <f>IFERROR(__xludf.DUMMYFUNCTION("if(ISBLANK(A616),, if('RHS INPUT'!E616=1,CONCATENATE(CHAR(34),To_Text('RHS INPUT'!C616),CHAR(34),CHAR(44)),""""))"),"")</f>
        <v/>
      </c>
      <c r="F616" s="28" t="str">
        <f>IF(isblank(A616) ,Concatenate("&gt; ",'RHS INPUT'!A616) , if('RHS INPUT'!F616=1,CONCATENATE(round('RHS INPUT'!N616),Char(44)," ",'RHS INPUT'!C616),""))</f>
        <v>67, rhs_VG400P_red</v>
      </c>
    </row>
    <row r="617" ht="12.0" customHeight="1">
      <c r="A617" s="1" t="str">
        <f>IFERROR(__xludf.DUMMYFUNCTION("if(ISBLANK('RHS INPUT'!C617),,CONCATENATE(CHAR(34),To_Text('RHS INPUT'!C617),CHAR(34),CHAR(44)))"),"")</f>
        <v/>
      </c>
      <c r="B617" s="18" t="str">
        <f>if(isblank('RHS INPUT'!A617),,CONCATENATE("/*  ",'RHS INPUT'!A617,"  */"))</f>
        <v>/*  SMOKES  */</v>
      </c>
      <c r="C617" s="22" t="str">
        <f>if(isblank(A617),,if('RHS INPUT'!D617=1,Concatenate("class ",'RHS INPUT'!C617),))</f>
        <v/>
      </c>
      <c r="D617" s="27" t="str">
        <f>if(ISBLANK(A617),,if('RHS INPUT'!D617=1,CONCATENATE("{quality = ",'RHS INPUT'!G617,"; price = ",Round('RHS INPUT'!M617),";};"),""))</f>
        <v/>
      </c>
      <c r="E617" t="str">
        <f>IFERROR(__xludf.DUMMYFUNCTION("if(ISBLANK(A617),, if('RHS INPUT'!E617=1,CONCATENATE(CHAR(34),To_Text('RHS INPUT'!C617),CHAR(34),CHAR(44)),""""))"),"")</f>
        <v/>
      </c>
      <c r="F617" s="28" t="str">
        <f>IF(isblank(A617) ,Concatenate("&gt; ",'RHS INPUT'!A617) , if('RHS INPUT'!F617=1,CONCATENATE(round('RHS INPUT'!N617),Char(44)," ",'RHS INPUT'!C617),""))</f>
        <v>&gt; SMOKES</v>
      </c>
    </row>
    <row r="618" ht="12.0" customHeight="1">
      <c r="A618" s="1" t="str">
        <f>IFERROR(__xludf.DUMMYFUNCTION("if(ISBLANK('RHS INPUT'!C618),,CONCATENATE(CHAR(34),To_Text('RHS INPUT'!C618),CHAR(34),CHAR(44)))"),"""SmokeShell"",")</f>
        <v>"SmokeShell",</v>
      </c>
      <c r="B618" s="18" t="str">
        <f>if(isblank('RHS INPUT'!A618),,CONCATENATE("/*  ",'RHS INPUT'!A618,"  */"))</f>
        <v/>
      </c>
      <c r="C618" s="22" t="str">
        <f>if(isblank(A618),,if('RHS INPUT'!D618=1,Concatenate("class ",'RHS INPUT'!C618),))</f>
        <v>class SmokeShell</v>
      </c>
      <c r="D618" s="27" t="str">
        <f>if(ISBLANK(A618),,if('RHS INPUT'!D618=1,CONCATENATE("{quality = ",'RHS INPUT'!G618,"; price = ",Round('RHS INPUT'!M618),";};"),""))</f>
        <v>{quality = 1; price = 80;};</v>
      </c>
      <c r="E618" t="str">
        <f>IFERROR(__xludf.DUMMYFUNCTION("if(ISBLANK(A618),, if('RHS INPUT'!E618=1,CONCATENATE(CHAR(34),To_Text('RHS INPUT'!C618),CHAR(34),CHAR(44)),""""))"),"""SmokeShell"",")</f>
        <v>"SmokeShell",</v>
      </c>
      <c r="F618" s="28" t="str">
        <f>IF(isblank(A618) ,Concatenate("&gt; ",'RHS INPUT'!A618) , if('RHS INPUT'!F618=1,CONCATENATE(round('RHS INPUT'!N618),Char(44)," ",'RHS INPUT'!C618),""))</f>
        <v>56, SmokeShell</v>
      </c>
    </row>
    <row r="619" ht="12.0" customHeight="1">
      <c r="A619" s="1" t="str">
        <f>IFERROR(__xludf.DUMMYFUNCTION("if(ISBLANK('RHS INPUT'!C619),,CONCATENATE(CHAR(34),To_Text('RHS INPUT'!C619),CHAR(34),CHAR(44)))"),"""SmokeShellBlue"",")</f>
        <v>"SmokeShellBlue",</v>
      </c>
      <c r="B619" s="18" t="str">
        <f>if(isblank('RHS INPUT'!A619),,CONCATENATE("/*  ",'RHS INPUT'!A619,"  */"))</f>
        <v/>
      </c>
      <c r="C619" s="22" t="str">
        <f>if(isblank(A619),,if('RHS INPUT'!D619=1,Concatenate("class ",'RHS INPUT'!C619),))</f>
        <v>class SmokeShellBlue</v>
      </c>
      <c r="D619" s="27" t="str">
        <f>if(ISBLANK(A619),,if('RHS INPUT'!D619=1,CONCATENATE("{quality = ",'RHS INPUT'!G619,"; price = ",Round('RHS INPUT'!M619),";};"),""))</f>
        <v>{quality = 1; price = 80;};</v>
      </c>
      <c r="E619" t="str">
        <f>IFERROR(__xludf.DUMMYFUNCTION("if(ISBLANK(A619),, if('RHS INPUT'!E619=1,CONCATENATE(CHAR(34),To_Text('RHS INPUT'!C619),CHAR(34),CHAR(44)),""""))"),"""SmokeShellBlue"",")</f>
        <v>"SmokeShellBlue",</v>
      </c>
      <c r="F619" s="28" t="str">
        <f>IF(isblank(A619) ,Concatenate("&gt; ",'RHS INPUT'!A619) , if('RHS INPUT'!F619=1,CONCATENATE(round('RHS INPUT'!N619),Char(44)," ",'RHS INPUT'!C619),""))</f>
        <v>56, SmokeShellBlue</v>
      </c>
    </row>
    <row r="620" ht="12.0" customHeight="1">
      <c r="A620" s="1" t="str">
        <f>IFERROR(__xludf.DUMMYFUNCTION("if(ISBLANK('RHS INPUT'!C620),,CONCATENATE(CHAR(34),To_Text('RHS INPUT'!C620),CHAR(34),CHAR(44)))"),"""SmokeShellGreen"",")</f>
        <v>"SmokeShellGreen",</v>
      </c>
      <c r="B620" s="18" t="str">
        <f>if(isblank('RHS INPUT'!A620),,CONCATENATE("/*  ",'RHS INPUT'!A620,"  */"))</f>
        <v/>
      </c>
      <c r="C620" s="22" t="str">
        <f>if(isblank(A620),,if('RHS INPUT'!D620=1,Concatenate("class ",'RHS INPUT'!C620),))</f>
        <v>class SmokeShellGreen</v>
      </c>
      <c r="D620" s="27" t="str">
        <f>if(ISBLANK(A620),,if('RHS INPUT'!D620=1,CONCATENATE("{quality = ",'RHS INPUT'!G620,"; price = ",Round('RHS INPUT'!M620),";};"),""))</f>
        <v>{quality = 1; price = 80;};</v>
      </c>
      <c r="E620" t="str">
        <f>IFERROR(__xludf.DUMMYFUNCTION("if(ISBLANK(A620),, if('RHS INPUT'!E620=1,CONCATENATE(CHAR(34),To_Text('RHS INPUT'!C620),CHAR(34),CHAR(44)),""""))"),"""SmokeShellGreen"",")</f>
        <v>"SmokeShellGreen",</v>
      </c>
      <c r="F620" s="28" t="str">
        <f>IF(isblank(A620) ,Concatenate("&gt; ",'RHS INPUT'!A620) , if('RHS INPUT'!F620=1,CONCATENATE(round('RHS INPUT'!N620),Char(44)," ",'RHS INPUT'!C620),""))</f>
        <v>56, SmokeShellGreen</v>
      </c>
    </row>
    <row r="621" ht="12.0" customHeight="1">
      <c r="A621" s="1" t="str">
        <f>IFERROR(__xludf.DUMMYFUNCTION("if(ISBLANK('RHS INPUT'!C621),,CONCATENATE(CHAR(34),To_Text('RHS INPUT'!C621),CHAR(34),CHAR(44)))"),"""SmokeShellOrange"",")</f>
        <v>"SmokeShellOrange",</v>
      </c>
      <c r="B621" s="18" t="str">
        <f>if(isblank('RHS INPUT'!A621),,CONCATENATE("/*  ",'RHS INPUT'!A621,"  */"))</f>
        <v/>
      </c>
      <c r="C621" s="22" t="str">
        <f>if(isblank(A621),,if('RHS INPUT'!D621=1,Concatenate("class ",'RHS INPUT'!C621),))</f>
        <v>class SmokeShellOrange</v>
      </c>
      <c r="D621" s="27" t="str">
        <f>if(ISBLANK(A621),,if('RHS INPUT'!D621=1,CONCATENATE("{quality = ",'RHS INPUT'!G621,"; price = ",Round('RHS INPUT'!M621),";};"),""))</f>
        <v>{quality = 1; price = 80;};</v>
      </c>
      <c r="E621" t="str">
        <f>IFERROR(__xludf.DUMMYFUNCTION("if(ISBLANK(A621),, if('RHS INPUT'!E621=1,CONCATENATE(CHAR(34),To_Text('RHS INPUT'!C621),CHAR(34),CHAR(44)),""""))"),"""SmokeShellOrange"",")</f>
        <v>"SmokeShellOrange",</v>
      </c>
      <c r="F621" s="28" t="str">
        <f>IF(isblank(A621) ,Concatenate("&gt; ",'RHS INPUT'!A621) , if('RHS INPUT'!F621=1,CONCATENATE(round('RHS INPUT'!N621),Char(44)," ",'RHS INPUT'!C621),""))</f>
        <v>56, SmokeShellOrange</v>
      </c>
    </row>
    <row r="622" ht="12.0" customHeight="1">
      <c r="A622" s="1" t="str">
        <f>IFERROR(__xludf.DUMMYFUNCTION("if(ISBLANK('RHS INPUT'!C622),,CONCATENATE(CHAR(34),To_Text('RHS INPUT'!C622),CHAR(34),CHAR(44)))"),"""SmokeShellPurple"",")</f>
        <v>"SmokeShellPurple",</v>
      </c>
      <c r="B622" s="18" t="str">
        <f>if(isblank('RHS INPUT'!A622),,CONCATENATE("/*  ",'RHS INPUT'!A622,"  */"))</f>
        <v/>
      </c>
      <c r="C622" s="22" t="str">
        <f>if(isblank(A622),,if('RHS INPUT'!D622=1,Concatenate("class ",'RHS INPUT'!C622),))</f>
        <v>class SmokeShellPurple</v>
      </c>
      <c r="D622" s="27" t="str">
        <f>if(ISBLANK(A622),,if('RHS INPUT'!D622=1,CONCATENATE("{quality = ",'RHS INPUT'!G622,"; price = ",Round('RHS INPUT'!M622),";};"),""))</f>
        <v>{quality = 1; price = 80;};</v>
      </c>
      <c r="E622" t="str">
        <f>IFERROR(__xludf.DUMMYFUNCTION("if(ISBLANK(A622),, if('RHS INPUT'!E622=1,CONCATENATE(CHAR(34),To_Text('RHS INPUT'!C622),CHAR(34),CHAR(44)),""""))"),"""SmokeShellPurple"",")</f>
        <v>"SmokeShellPurple",</v>
      </c>
      <c r="F622" s="28" t="str">
        <f>IF(isblank(A622) ,Concatenate("&gt; ",'RHS INPUT'!A622) , if('RHS INPUT'!F622=1,CONCATENATE(round('RHS INPUT'!N622),Char(44)," ",'RHS INPUT'!C622),""))</f>
        <v>56, SmokeShellPurple</v>
      </c>
    </row>
    <row r="623" ht="12.0" customHeight="1">
      <c r="A623" s="1" t="str">
        <f>IFERROR(__xludf.DUMMYFUNCTION("if(ISBLANK('RHS INPUT'!C623),,CONCATENATE(CHAR(34),To_Text('RHS INPUT'!C623),CHAR(34),CHAR(44)))"),"""SmokeShellRed"",")</f>
        <v>"SmokeShellRed",</v>
      </c>
      <c r="B623" s="18" t="str">
        <f>if(isblank('RHS INPUT'!A623),,CONCATENATE("/*  ",'RHS INPUT'!A623,"  */"))</f>
        <v/>
      </c>
      <c r="C623" s="22" t="str">
        <f>if(isblank(A623),,if('RHS INPUT'!D623=1,Concatenate("class ",'RHS INPUT'!C623),))</f>
        <v>class SmokeShellRed</v>
      </c>
      <c r="D623" s="27" t="str">
        <f>if(ISBLANK(A623),,if('RHS INPUT'!D623=1,CONCATENATE("{quality = ",'RHS INPUT'!G623,"; price = ",Round('RHS INPUT'!M623),";};"),""))</f>
        <v>{quality = 1; price = 80;};</v>
      </c>
      <c r="E623" t="str">
        <f>IFERROR(__xludf.DUMMYFUNCTION("if(ISBLANK(A623),, if('RHS INPUT'!E623=1,CONCATENATE(CHAR(34),To_Text('RHS INPUT'!C623),CHAR(34),CHAR(44)),""""))"),"""SmokeShellRed"",")</f>
        <v>"SmokeShellRed",</v>
      </c>
      <c r="F623" s="28" t="str">
        <f>IF(isblank(A623) ,Concatenate("&gt; ",'RHS INPUT'!A623) , if('RHS INPUT'!F623=1,CONCATENATE(round('RHS INPUT'!N623),Char(44)," ",'RHS INPUT'!C623),""))</f>
        <v>56, SmokeShellRed</v>
      </c>
    </row>
    <row r="624" ht="12.0" customHeight="1">
      <c r="A624" s="1" t="str">
        <f>IFERROR(__xludf.DUMMYFUNCTION("if(ISBLANK('RHS INPUT'!C624),,CONCATENATE(CHAR(34),To_Text('RHS INPUT'!C624),CHAR(34),CHAR(44)))"),"""SmokeShellYellow"",")</f>
        <v>"SmokeShellYellow",</v>
      </c>
      <c r="B624" s="18" t="str">
        <f>if(isblank('RHS INPUT'!A624),,CONCATENATE("/*  ",'RHS INPUT'!A624,"  */"))</f>
        <v/>
      </c>
      <c r="C624" s="22" t="str">
        <f>if(isblank(A624),,if('RHS INPUT'!D624=1,Concatenate("class ",'RHS INPUT'!C624),))</f>
        <v>class SmokeShellYellow</v>
      </c>
      <c r="D624" s="27" t="str">
        <f>if(ISBLANK(A624),,if('RHS INPUT'!D624=1,CONCATENATE("{quality = ",'RHS INPUT'!G624,"; price = ",Round('RHS INPUT'!M624),";};"),""))</f>
        <v>{quality = 1; price = 80;};</v>
      </c>
      <c r="E624" t="str">
        <f>IFERROR(__xludf.DUMMYFUNCTION("if(ISBLANK(A624),, if('RHS INPUT'!E624=1,CONCATENATE(CHAR(34),To_Text('RHS INPUT'!C624),CHAR(34),CHAR(44)),""""))"),"""SmokeShellYellow"",")</f>
        <v>"SmokeShellYellow",</v>
      </c>
      <c r="F624" s="28" t="str">
        <f>IF(isblank(A624) ,Concatenate("&gt; ",'RHS INPUT'!A624) , if('RHS INPUT'!F624=1,CONCATENATE(round('RHS INPUT'!N624),Char(44)," ",'RHS INPUT'!C624),""))</f>
        <v>56, SmokeShellYellow</v>
      </c>
    </row>
    <row r="625" ht="12.0" customHeight="1">
      <c r="A625" s="1" t="str">
        <f>IFERROR(__xludf.DUMMYFUNCTION("if(ISBLANK('RHS INPUT'!C625),,CONCATENATE(CHAR(34),To_Text('RHS INPUT'!C625),CHAR(34),CHAR(44)))"),"""1Rnd_Smoke_Grenade_shell"",")</f>
        <v>"1Rnd_Smoke_Grenade_shell",</v>
      </c>
      <c r="B625" s="18" t="str">
        <f>if(isblank('RHS INPUT'!A625),,CONCATENATE("/*  ",'RHS INPUT'!A625,"  */"))</f>
        <v/>
      </c>
      <c r="C625" s="22" t="str">
        <f>if(isblank(A625),,if('RHS INPUT'!D625=1,Concatenate("class ",'RHS INPUT'!C625),))</f>
        <v>class 1Rnd_Smoke_Grenade_shell</v>
      </c>
      <c r="D625" s="27" t="str">
        <f>if(ISBLANK(A625),,if('RHS INPUT'!D625=1,CONCATENATE("{quality = ",'RHS INPUT'!G625,"; price = ",Round('RHS INPUT'!M625),";};"),""))</f>
        <v>{quality = 2; price = 160;};</v>
      </c>
      <c r="E625" t="str">
        <f>IFERROR(__xludf.DUMMYFUNCTION("if(ISBLANK(A625),, if('RHS INPUT'!E625=1,CONCATENATE(CHAR(34),To_Text('RHS INPUT'!C625),CHAR(34),CHAR(44)),""""))"),"""1Rnd_Smoke_Grenade_shell"",")</f>
        <v>"1Rnd_Smoke_Grenade_shell",</v>
      </c>
      <c r="F625" s="28" t="str">
        <f>IF(isblank(A625) ,Concatenate("&gt; ",'RHS INPUT'!A625) , if('RHS INPUT'!F625=1,CONCATENATE(round('RHS INPUT'!N625),Char(44)," ",'RHS INPUT'!C625),""))</f>
        <v>38, 1Rnd_Smoke_Grenade_shell</v>
      </c>
    </row>
    <row r="626" ht="12.0" customHeight="1">
      <c r="A626" s="1" t="str">
        <f>IFERROR(__xludf.DUMMYFUNCTION("if(ISBLANK('RHS INPUT'!C626),,CONCATENATE(CHAR(34),To_Text('RHS INPUT'!C626),CHAR(34),CHAR(44)))"),"""1Rnd_SmokeBlue_Grenade_shell"",")</f>
        <v>"1Rnd_SmokeBlue_Grenade_shell",</v>
      </c>
      <c r="B626" s="18" t="str">
        <f>if(isblank('RHS INPUT'!A626),,CONCATENATE("/*  ",'RHS INPUT'!A626,"  */"))</f>
        <v/>
      </c>
      <c r="C626" s="22" t="str">
        <f>if(isblank(A626),,if('RHS INPUT'!D626=1,Concatenate("class ",'RHS INPUT'!C626),))</f>
        <v>class 1Rnd_SmokeBlue_Grenade_shell</v>
      </c>
      <c r="D626" s="27" t="str">
        <f>if(ISBLANK(A626),,if('RHS INPUT'!D626=1,CONCATENATE("{quality = ",'RHS INPUT'!G626,"; price = ",Round('RHS INPUT'!M626),";};"),""))</f>
        <v>{quality = 2; price = 160;};</v>
      </c>
      <c r="E626" t="str">
        <f>IFERROR(__xludf.DUMMYFUNCTION("if(ISBLANK(A626),, if('RHS INPUT'!E626=1,CONCATENATE(CHAR(34),To_Text('RHS INPUT'!C626),CHAR(34),CHAR(44)),""""))"),"""1Rnd_SmokeBlue_Grenade_shell"",")</f>
        <v>"1Rnd_SmokeBlue_Grenade_shell",</v>
      </c>
      <c r="F626" s="28" t="str">
        <f>IF(isblank(A626) ,Concatenate("&gt; ",'RHS INPUT'!A626) , if('RHS INPUT'!F626=1,CONCATENATE(round('RHS INPUT'!N626),Char(44)," ",'RHS INPUT'!C626),""))</f>
        <v>38, 1Rnd_SmokeBlue_Grenade_shell</v>
      </c>
    </row>
    <row r="627" ht="12.0" customHeight="1">
      <c r="A627" s="1" t="str">
        <f>IFERROR(__xludf.DUMMYFUNCTION("if(ISBLANK('RHS INPUT'!C627),,CONCATENATE(CHAR(34),To_Text('RHS INPUT'!C627),CHAR(34),CHAR(44)))"),"""1Rnd_SmokeGreen_Grenade_shell"",")</f>
        <v>"1Rnd_SmokeGreen_Grenade_shell",</v>
      </c>
      <c r="B627" s="18" t="str">
        <f>if(isblank('RHS INPUT'!A627),,CONCATENATE("/*  ",'RHS INPUT'!A627,"  */"))</f>
        <v/>
      </c>
      <c r="C627" s="22" t="str">
        <f>if(isblank(A627),,if('RHS INPUT'!D627=1,Concatenate("class ",'RHS INPUT'!C627),))</f>
        <v>class 1Rnd_SmokeGreen_Grenade_shell</v>
      </c>
      <c r="D627" s="27" t="str">
        <f>if(ISBLANK(A627),,if('RHS INPUT'!D627=1,CONCATENATE("{quality = ",'RHS INPUT'!G627,"; price = ",Round('RHS INPUT'!M627),";};"),""))</f>
        <v>{quality = 2; price = 160;};</v>
      </c>
      <c r="E627" t="str">
        <f>IFERROR(__xludf.DUMMYFUNCTION("if(ISBLANK(A627),, if('RHS INPUT'!E627=1,CONCATENATE(CHAR(34),To_Text('RHS INPUT'!C627),CHAR(34),CHAR(44)),""""))"),"""1Rnd_SmokeGreen_Grenade_shell"",")</f>
        <v>"1Rnd_SmokeGreen_Grenade_shell",</v>
      </c>
      <c r="F627" s="28" t="str">
        <f>IF(isblank(A627) ,Concatenate("&gt; ",'RHS INPUT'!A627) , if('RHS INPUT'!F627=1,CONCATENATE(round('RHS INPUT'!N627),Char(44)," ",'RHS INPUT'!C627),""))</f>
        <v>38, 1Rnd_SmokeGreen_Grenade_shell</v>
      </c>
    </row>
    <row r="628" ht="12.0" customHeight="1">
      <c r="A628" s="1" t="str">
        <f>IFERROR(__xludf.DUMMYFUNCTION("if(ISBLANK('RHS INPUT'!C628),,CONCATENATE(CHAR(34),To_Text('RHS INPUT'!C628),CHAR(34),CHAR(44)))"),"""1Rnd_SmokeOrange_Grenade_shell"",")</f>
        <v>"1Rnd_SmokeOrange_Grenade_shell",</v>
      </c>
      <c r="B628" s="18" t="str">
        <f>if(isblank('RHS INPUT'!A628),,CONCATENATE("/*  ",'RHS INPUT'!A628,"  */"))</f>
        <v/>
      </c>
      <c r="C628" s="22" t="str">
        <f>if(isblank(A628),,if('RHS INPUT'!D628=1,Concatenate("class ",'RHS INPUT'!C628),))</f>
        <v>class 1Rnd_SmokeOrange_Grenade_shell</v>
      </c>
      <c r="D628" s="27" t="str">
        <f>if(ISBLANK(A628),,if('RHS INPUT'!D628=1,CONCATENATE("{quality = ",'RHS INPUT'!G628,"; price = ",Round('RHS INPUT'!M628),";};"),""))</f>
        <v>{quality = 2; price = 160;};</v>
      </c>
      <c r="E628" t="str">
        <f>IFERROR(__xludf.DUMMYFUNCTION("if(ISBLANK(A628),, if('RHS INPUT'!E628=1,CONCATENATE(CHAR(34),To_Text('RHS INPUT'!C628),CHAR(34),CHAR(44)),""""))"),"""1Rnd_SmokeOrange_Grenade_shell"",")</f>
        <v>"1Rnd_SmokeOrange_Grenade_shell",</v>
      </c>
      <c r="F628" s="28" t="str">
        <f>IF(isblank(A628) ,Concatenate("&gt; ",'RHS INPUT'!A628) , if('RHS INPUT'!F628=1,CONCATENATE(round('RHS INPUT'!N628),Char(44)," ",'RHS INPUT'!C628),""))</f>
        <v>38, 1Rnd_SmokeOrange_Grenade_shell</v>
      </c>
    </row>
    <row r="629" ht="12.0" customHeight="1">
      <c r="A629" s="1" t="str">
        <f>IFERROR(__xludf.DUMMYFUNCTION("if(ISBLANK('RHS INPUT'!C629),,CONCATENATE(CHAR(34),To_Text('RHS INPUT'!C629),CHAR(34),CHAR(44)))"),"""1Rnd_SmokePurple_Grenade_shell"",")</f>
        <v>"1Rnd_SmokePurple_Grenade_shell",</v>
      </c>
      <c r="B629" s="18" t="str">
        <f>if(isblank('RHS INPUT'!A629),,CONCATENATE("/*  ",'RHS INPUT'!A629,"  */"))</f>
        <v/>
      </c>
      <c r="C629" s="22" t="str">
        <f>if(isblank(A629),,if('RHS INPUT'!D629=1,Concatenate("class ",'RHS INPUT'!C629),))</f>
        <v>class 1Rnd_SmokePurple_Grenade_shell</v>
      </c>
      <c r="D629" s="27" t="str">
        <f>if(ISBLANK(A629),,if('RHS INPUT'!D629=1,CONCATENATE("{quality = ",'RHS INPUT'!G629,"; price = ",Round('RHS INPUT'!M629),";};"),""))</f>
        <v>{quality = 2; price = 160;};</v>
      </c>
      <c r="E629" t="str">
        <f>IFERROR(__xludf.DUMMYFUNCTION("if(ISBLANK(A629),, if('RHS INPUT'!E629=1,CONCATENATE(CHAR(34),To_Text('RHS INPUT'!C629),CHAR(34),CHAR(44)),""""))"),"""1Rnd_SmokePurple_Grenade_shell"",")</f>
        <v>"1Rnd_SmokePurple_Grenade_shell",</v>
      </c>
      <c r="F629" s="28" t="str">
        <f>IF(isblank(A629) ,Concatenate("&gt; ",'RHS INPUT'!A629) , if('RHS INPUT'!F629=1,CONCATENATE(round('RHS INPUT'!N629),Char(44)," ",'RHS INPUT'!C629),""))</f>
        <v>38, 1Rnd_SmokePurple_Grenade_shell</v>
      </c>
    </row>
    <row r="630" ht="12.0" customHeight="1">
      <c r="A630" s="1" t="str">
        <f>IFERROR(__xludf.DUMMYFUNCTION("if(ISBLANK('RHS INPUT'!C630),,CONCATENATE(CHAR(34),To_Text('RHS INPUT'!C630),CHAR(34),CHAR(44)))"),"""1Rnd_SmokeRed_Grenade_shell"",")</f>
        <v>"1Rnd_SmokeRed_Grenade_shell",</v>
      </c>
      <c r="B630" s="18" t="str">
        <f>if(isblank('RHS INPUT'!A630),,CONCATENATE("/*  ",'RHS INPUT'!A630,"  */"))</f>
        <v/>
      </c>
      <c r="C630" s="22" t="str">
        <f>if(isblank(A630),,if('RHS INPUT'!D630=1,Concatenate("class ",'RHS INPUT'!C630),))</f>
        <v>class 1Rnd_SmokeRed_Grenade_shell</v>
      </c>
      <c r="D630" s="27" t="str">
        <f>if(ISBLANK(A630),,if('RHS INPUT'!D630=1,CONCATENATE("{quality = ",'RHS INPUT'!G630,"; price = ",Round('RHS INPUT'!M630),";};"),""))</f>
        <v>{quality = 2; price = 160;};</v>
      </c>
      <c r="E630" t="str">
        <f>IFERROR(__xludf.DUMMYFUNCTION("if(ISBLANK(A630),, if('RHS INPUT'!E630=1,CONCATENATE(CHAR(34),To_Text('RHS INPUT'!C630),CHAR(34),CHAR(44)),""""))"),"""1Rnd_SmokeRed_Grenade_shell"",")</f>
        <v>"1Rnd_SmokeRed_Grenade_shell",</v>
      </c>
      <c r="F630" s="28" t="str">
        <f>IF(isblank(A630) ,Concatenate("&gt; ",'RHS INPUT'!A630) , if('RHS INPUT'!F630=1,CONCATENATE(round('RHS INPUT'!N630),Char(44)," ",'RHS INPUT'!C630),""))</f>
        <v>38, 1Rnd_SmokeRed_Grenade_shell</v>
      </c>
    </row>
    <row r="631" ht="12.0" customHeight="1">
      <c r="A631" s="1" t="str">
        <f>IFERROR(__xludf.DUMMYFUNCTION("if(ISBLANK('RHS INPUT'!C631),,CONCATENATE(CHAR(34),To_Text('RHS INPUT'!C631),CHAR(34),CHAR(44)))"),"""1Rnd_SmokeYellow_Grenade_shell"",")</f>
        <v>"1Rnd_SmokeYellow_Grenade_shell",</v>
      </c>
      <c r="B631" s="18" t="str">
        <f>if(isblank('RHS INPUT'!A631),,CONCATENATE("/*  ",'RHS INPUT'!A631,"  */"))</f>
        <v/>
      </c>
      <c r="C631" s="22" t="str">
        <f>if(isblank(A631),,if('RHS INPUT'!D631=1,Concatenate("class ",'RHS INPUT'!C631),))</f>
        <v>class 1Rnd_SmokeYellow_Grenade_shell</v>
      </c>
      <c r="D631" s="27" t="str">
        <f>if(ISBLANK(A631),,if('RHS INPUT'!D631=1,CONCATENATE("{quality = ",'RHS INPUT'!G631,"; price = ",Round('RHS INPUT'!M631),";};"),""))</f>
        <v>{quality = 2; price = 160;};</v>
      </c>
      <c r="E631" t="str">
        <f>IFERROR(__xludf.DUMMYFUNCTION("if(ISBLANK(A631),, if('RHS INPUT'!E631=1,CONCATENATE(CHAR(34),To_Text('RHS INPUT'!C631),CHAR(34),CHAR(44)),""""))"),"""1Rnd_SmokeYellow_Grenade_shell"",")</f>
        <v>"1Rnd_SmokeYellow_Grenade_shell",</v>
      </c>
      <c r="F631" s="28" t="str">
        <f>IF(isblank(A631) ,Concatenate("&gt; ",'RHS INPUT'!A631) , if('RHS INPUT'!F631=1,CONCATENATE(round('RHS INPUT'!N631),Char(44)," ",'RHS INPUT'!C631),""))</f>
        <v>38, 1Rnd_SmokeYellow_Grenade_shell</v>
      </c>
    </row>
    <row r="632" ht="12.0" customHeight="1">
      <c r="A632" s="1" t="str">
        <f>IFERROR(__xludf.DUMMYFUNCTION("if(ISBLANK('RHS INPUT'!C632),,CONCATENATE(CHAR(34),To_Text('RHS INPUT'!C632),CHAR(34),CHAR(44)))"),"""3Rnd_Smoke_Grenade_shell"",")</f>
        <v>"3Rnd_Smoke_Grenade_shell",</v>
      </c>
      <c r="B632" s="18" t="str">
        <f>if(isblank('RHS INPUT'!A632),,CONCATENATE("/*  ",'RHS INPUT'!A632,"  */"))</f>
        <v/>
      </c>
      <c r="C632" s="22" t="str">
        <f>if(isblank(A632),,if('RHS INPUT'!D632=1,Concatenate("class ",'RHS INPUT'!C632),))</f>
        <v>class 3Rnd_Smoke_Grenade_shell</v>
      </c>
      <c r="D632" s="27" t="str">
        <f>if(ISBLANK(A632),,if('RHS INPUT'!D632=1,CONCATENATE("{quality = ",'RHS INPUT'!G632,"; price = ",Round('RHS INPUT'!M632),";};"),""))</f>
        <v>{quality = 2; price = 480;};</v>
      </c>
      <c r="E632" t="str">
        <f>IFERROR(__xludf.DUMMYFUNCTION("if(ISBLANK(A632),, if('RHS INPUT'!E632=1,CONCATENATE(CHAR(34),To_Text('RHS INPUT'!C632),CHAR(34),CHAR(44)),""""))"),"""3Rnd_Smoke_Grenade_shell"",")</f>
        <v>"3Rnd_Smoke_Grenade_shell",</v>
      </c>
      <c r="F632" s="28" t="str">
        <f>IF(isblank(A632) ,Concatenate("&gt; ",'RHS INPUT'!A632) , if('RHS INPUT'!F632=1,CONCATENATE(round('RHS INPUT'!N632),Char(44)," ",'RHS INPUT'!C632),""))</f>
        <v>17, 3Rnd_Smoke_Grenade_shell</v>
      </c>
    </row>
    <row r="633" ht="12.0" customHeight="1">
      <c r="A633" s="1" t="str">
        <f>IFERROR(__xludf.DUMMYFUNCTION("if(ISBLANK('RHS INPUT'!C633),,CONCATENATE(CHAR(34),To_Text('RHS INPUT'!C633),CHAR(34),CHAR(44)))"),"""3Rnd_SmokeBlue_Grenade_shell"",")</f>
        <v>"3Rnd_SmokeBlue_Grenade_shell",</v>
      </c>
      <c r="B633" s="18" t="str">
        <f>if(isblank('RHS INPUT'!A633),,CONCATENATE("/*  ",'RHS INPUT'!A633,"  */"))</f>
        <v/>
      </c>
      <c r="C633" s="22" t="str">
        <f>if(isblank(A633),,if('RHS INPUT'!D633=1,Concatenate("class ",'RHS INPUT'!C633),))</f>
        <v>class 3Rnd_SmokeBlue_Grenade_shell</v>
      </c>
      <c r="D633" s="27" t="str">
        <f>if(ISBLANK(A633),,if('RHS INPUT'!D633=1,CONCATENATE("{quality = ",'RHS INPUT'!G633,"; price = ",Round('RHS INPUT'!M633),";};"),""))</f>
        <v>{quality = 2; price = 480;};</v>
      </c>
      <c r="E633" t="str">
        <f>IFERROR(__xludf.DUMMYFUNCTION("if(ISBLANK(A633),, if('RHS INPUT'!E633=1,CONCATENATE(CHAR(34),To_Text('RHS INPUT'!C633),CHAR(34),CHAR(44)),""""))"),"""3Rnd_SmokeBlue_Grenade_shell"",")</f>
        <v>"3Rnd_SmokeBlue_Grenade_shell",</v>
      </c>
      <c r="F633" s="28" t="str">
        <f>IF(isblank(A633) ,Concatenate("&gt; ",'RHS INPUT'!A633) , if('RHS INPUT'!F633=1,CONCATENATE(round('RHS INPUT'!N633),Char(44)," ",'RHS INPUT'!C633),""))</f>
        <v>17, 3Rnd_SmokeBlue_Grenade_shell</v>
      </c>
    </row>
    <row r="634" ht="12.0" customHeight="1">
      <c r="A634" s="1" t="str">
        <f>IFERROR(__xludf.DUMMYFUNCTION("if(ISBLANK('RHS INPUT'!C634),,CONCATENATE(CHAR(34),To_Text('RHS INPUT'!C634),CHAR(34),CHAR(44)))"),"""3Rnd_SmokeGreen_Grenade_shell"",")</f>
        <v>"3Rnd_SmokeGreen_Grenade_shell",</v>
      </c>
      <c r="B634" s="18" t="str">
        <f>if(isblank('RHS INPUT'!A634),,CONCATENATE("/*  ",'RHS INPUT'!A634,"  */"))</f>
        <v/>
      </c>
      <c r="C634" s="22" t="str">
        <f>if(isblank(A634),,if('RHS INPUT'!D634=1,Concatenate("class ",'RHS INPUT'!C634),))</f>
        <v>class 3Rnd_SmokeGreen_Grenade_shell</v>
      </c>
      <c r="D634" s="27" t="str">
        <f>if(ISBLANK(A634),,if('RHS INPUT'!D634=1,CONCATENATE("{quality = ",'RHS INPUT'!G634,"; price = ",Round('RHS INPUT'!M634),";};"),""))</f>
        <v>{quality = 2; price = 480;};</v>
      </c>
      <c r="E634" t="str">
        <f>IFERROR(__xludf.DUMMYFUNCTION("if(ISBLANK(A634),, if('RHS INPUT'!E634=1,CONCATENATE(CHAR(34),To_Text('RHS INPUT'!C634),CHAR(34),CHAR(44)),""""))"),"""3Rnd_SmokeGreen_Grenade_shell"",")</f>
        <v>"3Rnd_SmokeGreen_Grenade_shell",</v>
      </c>
      <c r="F634" s="28" t="str">
        <f>IF(isblank(A634) ,Concatenate("&gt; ",'RHS INPUT'!A634) , if('RHS INPUT'!F634=1,CONCATENATE(round('RHS INPUT'!N634),Char(44)," ",'RHS INPUT'!C634),""))</f>
        <v>17, 3Rnd_SmokeGreen_Grenade_shell</v>
      </c>
    </row>
    <row r="635" ht="12.0" customHeight="1">
      <c r="A635" s="1" t="str">
        <f>IFERROR(__xludf.DUMMYFUNCTION("if(ISBLANK('RHS INPUT'!C635),,CONCATENATE(CHAR(34),To_Text('RHS INPUT'!C635),CHAR(34),CHAR(44)))"),"""3Rnd_SmokeOrange_Grenade_shell"",")</f>
        <v>"3Rnd_SmokeOrange_Grenade_shell",</v>
      </c>
      <c r="B635" s="18" t="str">
        <f>if(isblank('RHS INPUT'!A635),,CONCATENATE("/*  ",'RHS INPUT'!A635,"  */"))</f>
        <v/>
      </c>
      <c r="C635" s="22" t="str">
        <f>if(isblank(A635),,if('RHS INPUT'!D635=1,Concatenate("class ",'RHS INPUT'!C635),))</f>
        <v>class 3Rnd_SmokeOrange_Grenade_shell</v>
      </c>
      <c r="D635" s="27" t="str">
        <f>if(ISBLANK(A635),,if('RHS INPUT'!D635=1,CONCATENATE("{quality = ",'RHS INPUT'!G635,"; price = ",Round('RHS INPUT'!M635),";};"),""))</f>
        <v>{quality = 2; price = 480;};</v>
      </c>
      <c r="E635" t="str">
        <f>IFERROR(__xludf.DUMMYFUNCTION("if(ISBLANK(A635),, if('RHS INPUT'!E635=1,CONCATENATE(CHAR(34),To_Text('RHS INPUT'!C635),CHAR(34),CHAR(44)),""""))"),"""3Rnd_SmokeOrange_Grenade_shell"",")</f>
        <v>"3Rnd_SmokeOrange_Grenade_shell",</v>
      </c>
      <c r="F635" s="28" t="str">
        <f>IF(isblank(A635) ,Concatenate("&gt; ",'RHS INPUT'!A635) , if('RHS INPUT'!F635=1,CONCATENATE(round('RHS INPUT'!N635),Char(44)," ",'RHS INPUT'!C635),""))</f>
        <v>17, 3Rnd_SmokeOrange_Grenade_shell</v>
      </c>
    </row>
    <row r="636" ht="12.0" customHeight="1">
      <c r="A636" s="1" t="str">
        <f>IFERROR(__xludf.DUMMYFUNCTION("if(ISBLANK('RHS INPUT'!C636),,CONCATENATE(CHAR(34),To_Text('RHS INPUT'!C636),CHAR(34),CHAR(44)))"),"""3Rnd_SmokePurple_Grenade_shell"",")</f>
        <v>"3Rnd_SmokePurple_Grenade_shell",</v>
      </c>
      <c r="B636" s="18" t="str">
        <f>if(isblank('RHS INPUT'!A636),,CONCATENATE("/*  ",'RHS INPUT'!A636,"  */"))</f>
        <v/>
      </c>
      <c r="C636" s="22" t="str">
        <f>if(isblank(A636),,if('RHS INPUT'!D636=1,Concatenate("class ",'RHS INPUT'!C636),))</f>
        <v>class 3Rnd_SmokePurple_Grenade_shell</v>
      </c>
      <c r="D636" s="27" t="str">
        <f>if(ISBLANK(A636),,if('RHS INPUT'!D636=1,CONCATENATE("{quality = ",'RHS INPUT'!G636,"; price = ",Round('RHS INPUT'!M636),";};"),""))</f>
        <v>{quality = 2; price = 480;};</v>
      </c>
      <c r="E636" t="str">
        <f>IFERROR(__xludf.DUMMYFUNCTION("if(ISBLANK(A636),, if('RHS INPUT'!E636=1,CONCATENATE(CHAR(34),To_Text('RHS INPUT'!C636),CHAR(34),CHAR(44)),""""))"),"""3Rnd_SmokePurple_Grenade_shell"",")</f>
        <v>"3Rnd_SmokePurple_Grenade_shell",</v>
      </c>
      <c r="F636" s="28" t="str">
        <f>IF(isblank(A636) ,Concatenate("&gt; ",'RHS INPUT'!A636) , if('RHS INPUT'!F636=1,CONCATENATE(round('RHS INPUT'!N636),Char(44)," ",'RHS INPUT'!C636),""))</f>
        <v>17, 3Rnd_SmokePurple_Grenade_shell</v>
      </c>
    </row>
    <row r="637" ht="12.0" customHeight="1">
      <c r="A637" s="1" t="str">
        <f>IFERROR(__xludf.DUMMYFUNCTION("if(ISBLANK('RHS INPUT'!C637),,CONCATENATE(CHAR(34),To_Text('RHS INPUT'!C637),CHAR(34),CHAR(44)))"),"""3Rnd_SmokeRed_Grenade_shell"",")</f>
        <v>"3Rnd_SmokeRed_Grenade_shell",</v>
      </c>
      <c r="B637" s="18" t="str">
        <f>if(isblank('RHS INPUT'!A637),,CONCATENATE("/*  ",'RHS INPUT'!A637,"  */"))</f>
        <v/>
      </c>
      <c r="C637" s="22" t="str">
        <f>if(isblank(A637),,if('RHS INPUT'!D637=1,Concatenate("class ",'RHS INPUT'!C637),))</f>
        <v>class 3Rnd_SmokeRed_Grenade_shell</v>
      </c>
      <c r="D637" s="27" t="str">
        <f>if(ISBLANK(A637),,if('RHS INPUT'!D637=1,CONCATENATE("{quality = ",'RHS INPUT'!G637,"; price = ",Round('RHS INPUT'!M637),";};"),""))</f>
        <v>{quality = 2; price = 480;};</v>
      </c>
      <c r="E637" t="str">
        <f>IFERROR(__xludf.DUMMYFUNCTION("if(ISBLANK(A637),, if('RHS INPUT'!E637=1,CONCATENATE(CHAR(34),To_Text('RHS INPUT'!C637),CHAR(34),CHAR(44)),""""))"),"""3Rnd_SmokeRed_Grenade_shell"",")</f>
        <v>"3Rnd_SmokeRed_Grenade_shell",</v>
      </c>
      <c r="F637" s="28" t="str">
        <f>IF(isblank(A637) ,Concatenate("&gt; ",'RHS INPUT'!A637) , if('RHS INPUT'!F637=1,CONCATENATE(round('RHS INPUT'!N637),Char(44)," ",'RHS INPUT'!C637),""))</f>
        <v>17, 3Rnd_SmokeRed_Grenade_shell</v>
      </c>
    </row>
    <row r="638" ht="12.0" customHeight="1">
      <c r="A638" s="1" t="str">
        <f>IFERROR(__xludf.DUMMYFUNCTION("if(ISBLANK('RHS INPUT'!C638),,CONCATENATE(CHAR(34),To_Text('RHS INPUT'!C638),CHAR(34),CHAR(44)))"),"""3Rnd_SmokeYellow_Grenade_shell"",")</f>
        <v>"3Rnd_SmokeYellow_Grenade_shell",</v>
      </c>
      <c r="B638" s="18" t="str">
        <f>if(isblank('RHS INPUT'!A638),,CONCATENATE("/*  ",'RHS INPUT'!A638,"  */"))</f>
        <v/>
      </c>
      <c r="C638" s="22" t="str">
        <f>if(isblank(A638),,if('RHS INPUT'!D638=1,Concatenate("class ",'RHS INPUT'!C638),))</f>
        <v>class 3Rnd_SmokeYellow_Grenade_shell</v>
      </c>
      <c r="D638" s="27" t="str">
        <f>if(ISBLANK(A638),,if('RHS INPUT'!D638=1,CONCATENATE("{quality = ",'RHS INPUT'!G638,"; price = ",Round('RHS INPUT'!M638),";};"),""))</f>
        <v>{quality = 2; price = 480;};</v>
      </c>
      <c r="E638" t="str">
        <f>IFERROR(__xludf.DUMMYFUNCTION("if(ISBLANK(A638),, if('RHS INPUT'!E638=1,CONCATENATE(CHAR(34),To_Text('RHS INPUT'!C638),CHAR(34),CHAR(44)),""""))"),"""3Rnd_SmokeYellow_Grenade_shell"",")</f>
        <v>"3Rnd_SmokeYellow_Grenade_shell",</v>
      </c>
      <c r="F638" s="28" t="str">
        <f>IF(isblank(A638) ,Concatenate("&gt; ",'RHS INPUT'!A638) , if('RHS INPUT'!F638=1,CONCATENATE(round('RHS INPUT'!N638),Char(44)," ",'RHS INPUT'!C638),""))</f>
        <v>17, 3Rnd_SmokeYellow_Grenade_shell</v>
      </c>
    </row>
    <row r="639" ht="12.0" customHeight="1">
      <c r="A639" s="1" t="str">
        <f>IFERROR(__xludf.DUMMYFUNCTION("if(ISBLANK('RHS INPUT'!C639),,CONCATENATE(CHAR(34),To_Text('RHS INPUT'!C639),CHAR(34),CHAR(44)))"),"""rhs_GDM40"",")</f>
        <v>"rhs_GDM40",</v>
      </c>
      <c r="B639" s="18" t="str">
        <f>if(isblank('RHS INPUT'!A639),,CONCATENATE("/*  ",'RHS INPUT'!A639,"  */"))</f>
        <v/>
      </c>
      <c r="C639" s="22" t="str">
        <f>if(isblank(A639),,if('RHS INPUT'!D639=1,Concatenate("class ",'RHS INPUT'!C639),))</f>
        <v>class rhs_GDM40</v>
      </c>
      <c r="D639" s="27" t="str">
        <f>if(ISBLANK(A639),,if('RHS INPUT'!D639=1,CONCATENATE("{quality = ",'RHS INPUT'!G639,"; price = ",Round('RHS INPUT'!M639),";};"),""))</f>
        <v>{quality = 1; price = 80;};</v>
      </c>
      <c r="E639" t="str">
        <f>IFERROR(__xludf.DUMMYFUNCTION("if(ISBLANK(A639),, if('RHS INPUT'!E639=1,CONCATENATE(CHAR(34),To_Text('RHS INPUT'!C639),CHAR(34),CHAR(44)),""""))"),"""rhs_GDM40"",")</f>
        <v>"rhs_GDM40",</v>
      </c>
      <c r="F639" s="28" t="str">
        <f>IF(isblank(A639) ,Concatenate("&gt; ",'RHS INPUT'!A639) , if('RHS INPUT'!F639=1,CONCATENATE(round('RHS INPUT'!N639),Char(44)," ",'RHS INPUT'!C639),""))</f>
        <v>56, rhs_GDM40</v>
      </c>
    </row>
    <row r="640" ht="12.0" customHeight="1">
      <c r="A640" s="1" t="str">
        <f>IFERROR(__xludf.DUMMYFUNCTION("if(ISBLANK('RHS INPUT'!C640),,CONCATENATE(CHAR(34),To_Text('RHS INPUT'!C640),CHAR(34),CHAR(44)))"),"""rhs_GRO40_White"",")</f>
        <v>"rhs_GRO40_White",</v>
      </c>
      <c r="B640" s="18" t="str">
        <f>if(isblank('RHS INPUT'!A640),,CONCATENATE("/*  ",'RHS INPUT'!A640,"  */"))</f>
        <v>/*  Broken  */</v>
      </c>
      <c r="C640" s="22" t="str">
        <f>if(isblank(A640),,if('RHS INPUT'!D640=1,Concatenate("class ",'RHS INPUT'!C640),))</f>
        <v>class rhs_GRO40_White</v>
      </c>
      <c r="D640" s="27" t="str">
        <f>if(ISBLANK(A640),,if('RHS INPUT'!D640=1,CONCATENATE("{quality = ",'RHS INPUT'!G640,"; price = ",Round('RHS INPUT'!M640),";};"),""))</f>
        <v>{quality = 1; price = 80;};</v>
      </c>
      <c r="E640" t="str">
        <f>IFERROR(__xludf.DUMMYFUNCTION("if(ISBLANK(A640),, if('RHS INPUT'!E640=1,CONCATENATE(CHAR(34),To_Text('RHS INPUT'!C640),CHAR(34),CHAR(44)),""""))"),"")</f>
        <v/>
      </c>
      <c r="F640" s="28" t="str">
        <f>IF(isblank(A640) ,Concatenate("&gt; ",'RHS INPUT'!A640) , if('RHS INPUT'!F640=1,CONCATENATE(round('RHS INPUT'!N640),Char(44)," ",'RHS INPUT'!C640),""))</f>
        <v>56, rhs_GRO40_White</v>
      </c>
    </row>
    <row r="641" ht="12.0" customHeight="1">
      <c r="A641" s="1" t="str">
        <f>IFERROR(__xludf.DUMMYFUNCTION("if(ISBLANK('RHS INPUT'!C641),,CONCATENATE(CHAR(34),To_Text('RHS INPUT'!C641),CHAR(34),CHAR(44)))"),"""rhs_GRO40_Green"",")</f>
        <v>"rhs_GRO40_Green",</v>
      </c>
      <c r="B641" s="18" t="str">
        <f>if(isblank('RHS INPUT'!A641),,CONCATENATE("/*  ",'RHS INPUT'!A641,"  */"))</f>
        <v>/*  Broken  */</v>
      </c>
      <c r="C641" s="22" t="str">
        <f>if(isblank(A641),,if('RHS INPUT'!D641=1,Concatenate("class ",'RHS INPUT'!C641),))</f>
        <v>class rhs_GRO40_Green</v>
      </c>
      <c r="D641" s="27" t="str">
        <f>if(ISBLANK(A641),,if('RHS INPUT'!D641=1,CONCATENATE("{quality = ",'RHS INPUT'!G641,"; price = ",Round('RHS INPUT'!M641),";};"),""))</f>
        <v>{quality = 1; price = 80;};</v>
      </c>
      <c r="E641" t="str">
        <f>IFERROR(__xludf.DUMMYFUNCTION("if(ISBLANK(A641),, if('RHS INPUT'!E641=1,CONCATENATE(CHAR(34),To_Text('RHS INPUT'!C641),CHAR(34),CHAR(44)),""""))"),"")</f>
        <v/>
      </c>
      <c r="F641" s="28" t="str">
        <f>IF(isblank(A641) ,Concatenate("&gt; ",'RHS INPUT'!A641) , if('RHS INPUT'!F641=1,CONCATENATE(round('RHS INPUT'!N641),Char(44)," ",'RHS INPUT'!C641),""))</f>
        <v>56, rhs_GRO40_Green</v>
      </c>
    </row>
    <row r="642" ht="12.0" customHeight="1">
      <c r="A642" s="1" t="str">
        <f>IFERROR(__xludf.DUMMYFUNCTION("if(ISBLANK('RHS INPUT'!C642),,CONCATENATE(CHAR(34),To_Text('RHS INPUT'!C642),CHAR(34),CHAR(44)))"),"""rhs_GRO40_Red"",")</f>
        <v>"rhs_GRO40_Red",</v>
      </c>
      <c r="B642" s="18" t="str">
        <f>if(isblank('RHS INPUT'!A642),,CONCATENATE("/*  ",'RHS INPUT'!A642,"  */"))</f>
        <v>/*  Broken  */</v>
      </c>
      <c r="C642" s="22" t="str">
        <f>if(isblank(A642),,if('RHS INPUT'!D642=1,Concatenate("class ",'RHS INPUT'!C642),))</f>
        <v>class rhs_GRO40_Red</v>
      </c>
      <c r="D642" s="27" t="str">
        <f>if(ISBLANK(A642),,if('RHS INPUT'!D642=1,CONCATENATE("{quality = ",'RHS INPUT'!G642,"; price = ",Round('RHS INPUT'!M642),";};"),""))</f>
        <v>{quality = 1; price = 80;};</v>
      </c>
      <c r="E642" t="str">
        <f>IFERROR(__xludf.DUMMYFUNCTION("if(ISBLANK(A642),, if('RHS INPUT'!E642=1,CONCATENATE(CHAR(34),To_Text('RHS INPUT'!C642),CHAR(34),CHAR(44)),""""))"),"")</f>
        <v/>
      </c>
      <c r="F642" s="28" t="str">
        <f>IF(isblank(A642) ,Concatenate("&gt; ",'RHS INPUT'!A642) , if('RHS INPUT'!F642=1,CONCATENATE(round('RHS INPUT'!N642),Char(44)," ",'RHS INPUT'!C642),""))</f>
        <v>56, rhs_GRO40_Red</v>
      </c>
    </row>
    <row r="643" ht="12.0" customHeight="1">
      <c r="A643" s="1" t="str">
        <f>IFERROR(__xludf.DUMMYFUNCTION("if(ISBLANK('RHS INPUT'!C643),,CONCATENATE(CHAR(34),To_Text('RHS INPUT'!C643),CHAR(34),CHAR(44)))"),"")</f>
        <v/>
      </c>
      <c r="B643" s="18" t="str">
        <f>if(isblank('RHS INPUT'!A643),,CONCATENATE("/*  ",'RHS INPUT'!A643,"  */"))</f>
        <v>/*  EXPLOSIVES  */</v>
      </c>
      <c r="C643" s="22" t="str">
        <f>if(isblank(A643),,if('RHS INPUT'!D643=1,Concatenate("class ",'RHS INPUT'!C643),))</f>
        <v/>
      </c>
      <c r="D643" s="27" t="str">
        <f>if(ISBLANK(A643),,if('RHS INPUT'!D643=1,CONCATENATE("{quality = ",'RHS INPUT'!G643,"; price = ",Round('RHS INPUT'!M643),";};"),""))</f>
        <v/>
      </c>
      <c r="E643" t="str">
        <f>IFERROR(__xludf.DUMMYFUNCTION("if(ISBLANK(A643),, if('RHS INPUT'!E643=1,CONCATENATE(CHAR(34),To_Text('RHS INPUT'!C643),CHAR(34),CHAR(44)),""""))"),"")</f>
        <v/>
      </c>
      <c r="F643" s="28" t="str">
        <f>IF(isblank(A643) ,Concatenate("&gt; ",'RHS INPUT'!A643) , if('RHS INPUT'!F643=1,CONCATENATE(round('RHS INPUT'!N643),Char(44)," ",'RHS INPUT'!C643),""))</f>
        <v>&gt; EXPLOSIVES</v>
      </c>
    </row>
    <row r="644" ht="12.0" customHeight="1">
      <c r="A644" s="1" t="str">
        <f>IFERROR(__xludf.DUMMYFUNCTION("if(ISBLANK('RHS INPUT'!C644),,CONCATENATE(CHAR(34),To_Text('RHS INPUT'!C644),CHAR(34),CHAR(44)))"),"""HandGrenade"",")</f>
        <v>"HandGrenade",</v>
      </c>
      <c r="B644" s="18" t="str">
        <f>if(isblank('RHS INPUT'!A644),,CONCATENATE("/*  ",'RHS INPUT'!A644,"  */"))</f>
        <v/>
      </c>
      <c r="C644" s="22" t="str">
        <f>if(isblank(A644),,if('RHS INPUT'!D644=1,Concatenate("class ",'RHS INPUT'!C644),))</f>
        <v>class HandGrenade</v>
      </c>
      <c r="D644" s="27" t="str">
        <f>if(ISBLANK(A644),,if('RHS INPUT'!D644=1,CONCATENATE("{quality = ",'RHS INPUT'!G644,"; price = ",Round('RHS INPUT'!M644),";};"),""))</f>
        <v>{quality = 2; price = 600;};</v>
      </c>
      <c r="E644" t="str">
        <f>IFERROR(__xludf.DUMMYFUNCTION("if(ISBLANK(A644),, if('RHS INPUT'!E644=1,CONCATENATE(CHAR(34),To_Text('RHS INPUT'!C644),CHAR(34),CHAR(44)),""""))"),"""HandGrenade"",")</f>
        <v>"HandGrenade",</v>
      </c>
      <c r="F644" s="28" t="str">
        <f>IF(isblank(A644) ,Concatenate("&gt; ",'RHS INPUT'!A644) , if('RHS INPUT'!F644=1,CONCATENATE(round('RHS INPUT'!N644),Char(44)," ",'RHS INPUT'!C644),""))</f>
        <v>14, HandGrenade</v>
      </c>
    </row>
    <row r="645" ht="12.0" customHeight="1">
      <c r="A645" s="1" t="str">
        <f>IFERROR(__xludf.DUMMYFUNCTION("if(ISBLANK('RHS INPUT'!C645),,CONCATENATE(CHAR(34),To_Text('RHS INPUT'!C645),CHAR(34),CHAR(44)))"),"""MiniGrenade"",")</f>
        <v>"MiniGrenade",</v>
      </c>
      <c r="B645" s="18" t="str">
        <f>if(isblank('RHS INPUT'!A645),,CONCATENATE("/*  ",'RHS INPUT'!A645,"  */"))</f>
        <v/>
      </c>
      <c r="C645" s="22" t="str">
        <f>if(isblank(A645),,if('RHS INPUT'!D645=1,Concatenate("class ",'RHS INPUT'!C645),))</f>
        <v>class MiniGrenade</v>
      </c>
      <c r="D645" s="27" t="str">
        <f>if(ISBLANK(A645),,if('RHS INPUT'!D645=1,CONCATENATE("{quality = ",'RHS INPUT'!G645,"; price = ",Round('RHS INPUT'!M645),";};"),""))</f>
        <v>{quality = 2; price = 400;};</v>
      </c>
      <c r="E645" t="str">
        <f>IFERROR(__xludf.DUMMYFUNCTION("if(ISBLANK(A645),, if('RHS INPUT'!E645=1,CONCATENATE(CHAR(34),To_Text('RHS INPUT'!C645),CHAR(34),CHAR(44)),""""))"),"""MiniGrenade"",")</f>
        <v>"MiniGrenade",</v>
      </c>
      <c r="F645" s="28" t="str">
        <f>IF(isblank(A645) ,Concatenate("&gt; ",'RHS INPUT'!A645) , if('RHS INPUT'!F645=1,CONCATENATE(round('RHS INPUT'!N645),Char(44)," ",'RHS INPUT'!C645),""))</f>
        <v>20, MiniGrenade</v>
      </c>
    </row>
    <row r="646" ht="12.0" customHeight="1">
      <c r="A646" s="1" t="str">
        <f>IFERROR(__xludf.DUMMYFUNCTION("if(ISBLANK('RHS INPUT'!C646),,CONCATENATE(CHAR(34),To_Text('RHS INPUT'!C646),CHAR(34),CHAR(44)))"),"""B_IR_Grenade"",")</f>
        <v>"B_IR_Grenade",</v>
      </c>
      <c r="B646" s="18" t="str">
        <f>if(isblank('RHS INPUT'!A646),,CONCATENATE("/*  ",'RHS INPUT'!A646,"  */"))</f>
        <v/>
      </c>
      <c r="C646" s="22" t="str">
        <f>if(isblank(A646),,if('RHS INPUT'!D646=1,Concatenate("class ",'RHS INPUT'!C646),))</f>
        <v/>
      </c>
      <c r="D646" s="27" t="str">
        <f>if(ISBLANK(A646),,if('RHS INPUT'!D646=1,CONCATENATE("{quality = ",'RHS INPUT'!G646,"; price = ",Round('RHS INPUT'!M646),";};"),""))</f>
        <v/>
      </c>
      <c r="E646" t="str">
        <f>IFERROR(__xludf.DUMMYFUNCTION("if(ISBLANK(A646),, if('RHS INPUT'!E646=1,CONCATENATE(CHAR(34),To_Text('RHS INPUT'!C646),CHAR(34),CHAR(44)),""""))"),"")</f>
        <v/>
      </c>
      <c r="F646" s="28" t="str">
        <f>IF(isblank(A646) ,Concatenate("&gt; ",'RHS INPUT'!A646) , if('RHS INPUT'!F646=1,CONCATENATE(round('RHS INPUT'!N646),Char(44)," ",'RHS INPUT'!C646),""))</f>
        <v/>
      </c>
    </row>
    <row r="647" ht="12.0" customHeight="1">
      <c r="A647" s="1" t="str">
        <f>IFERROR(__xludf.DUMMYFUNCTION("if(ISBLANK('RHS INPUT'!C647),,CONCATENATE(CHAR(34),To_Text('RHS INPUT'!C647),CHAR(34),CHAR(44)))"),"""O_IR_Grenade"",")</f>
        <v>"O_IR_Grenade",</v>
      </c>
      <c r="B647" s="18" t="str">
        <f>if(isblank('RHS INPUT'!A647),,CONCATENATE("/*  ",'RHS INPUT'!A647,"  */"))</f>
        <v/>
      </c>
      <c r="C647" s="22" t="str">
        <f>if(isblank(A647),,if('RHS INPUT'!D647=1,Concatenate("class ",'RHS INPUT'!C647),))</f>
        <v/>
      </c>
      <c r="D647" s="27" t="str">
        <f>if(ISBLANK(A647),,if('RHS INPUT'!D647=1,CONCATENATE("{quality = ",'RHS INPUT'!G647,"; price = ",Round('RHS INPUT'!M647),";};"),""))</f>
        <v/>
      </c>
      <c r="E647" t="str">
        <f>IFERROR(__xludf.DUMMYFUNCTION("if(ISBLANK(A647),, if('RHS INPUT'!E647=1,CONCATENATE(CHAR(34),To_Text('RHS INPUT'!C647),CHAR(34),CHAR(44)),""""))"),"")</f>
        <v/>
      </c>
      <c r="F647" s="28" t="str">
        <f>IF(isblank(A647) ,Concatenate("&gt; ",'RHS INPUT'!A647) , if('RHS INPUT'!F647=1,CONCATENATE(round('RHS INPUT'!N647),Char(44)," ",'RHS INPUT'!C647),""))</f>
        <v/>
      </c>
    </row>
    <row r="648" ht="12.0" customHeight="1">
      <c r="A648" s="1" t="str">
        <f>IFERROR(__xludf.DUMMYFUNCTION("if(ISBLANK('RHS INPUT'!C648),,CONCATENATE(CHAR(34),To_Text('RHS INPUT'!C648),CHAR(34),CHAR(44)))"),"""I_IR_Grenade"",")</f>
        <v>"I_IR_Grenade",</v>
      </c>
      <c r="B648" s="18" t="str">
        <f>if(isblank('RHS INPUT'!A648),,CONCATENATE("/*  ",'RHS INPUT'!A648,"  */"))</f>
        <v/>
      </c>
      <c r="C648" s="22" t="str">
        <f>if(isblank(A648),,if('RHS INPUT'!D648=1,Concatenate("class ",'RHS INPUT'!C648),))</f>
        <v/>
      </c>
      <c r="D648" s="27" t="str">
        <f>if(ISBLANK(A648),,if('RHS INPUT'!D648=1,CONCATENATE("{quality = ",'RHS INPUT'!G648,"; price = ",Round('RHS INPUT'!M648),";};"),""))</f>
        <v/>
      </c>
      <c r="E648" t="str">
        <f>IFERROR(__xludf.DUMMYFUNCTION("if(ISBLANK(A648),, if('RHS INPUT'!E648=1,CONCATENATE(CHAR(34),To_Text('RHS INPUT'!C648),CHAR(34),CHAR(44)),""""))"),"")</f>
        <v/>
      </c>
      <c r="F648" s="28" t="str">
        <f>IF(isblank(A648) ,Concatenate("&gt; ",'RHS INPUT'!A648) , if('RHS INPUT'!F648=1,CONCATENATE(round('RHS INPUT'!N648),Char(44)," ",'RHS INPUT'!C648),""))</f>
        <v/>
      </c>
    </row>
    <row r="649" ht="12.0" customHeight="1">
      <c r="A649" s="1" t="str">
        <f>IFERROR(__xludf.DUMMYFUNCTION("if(ISBLANK('RHS INPUT'!C649),,CONCATENATE(CHAR(34),To_Text('RHS INPUT'!C649),CHAR(34),CHAR(44)))"),"""1Rnd_HE_Grenade_shell"",")</f>
        <v>"1Rnd_HE_Grenade_shell",</v>
      </c>
      <c r="B649" s="18" t="str">
        <f>if(isblank('RHS INPUT'!A649),,CONCATENATE("/*  ",'RHS INPUT'!A649,"  */"))</f>
        <v/>
      </c>
      <c r="C649" s="22" t="str">
        <f>if(isblank(A649),,if('RHS INPUT'!D649=1,Concatenate("class ",'RHS INPUT'!C649),))</f>
        <v>class 1Rnd_HE_Grenade_shell</v>
      </c>
      <c r="D649" s="27" t="str">
        <f>if(ISBLANK(A649),,if('RHS INPUT'!D649=1,CONCATENATE("{quality = ",'RHS INPUT'!G649,"; price = ",Round('RHS INPUT'!M649),";};"),""))</f>
        <v>{quality = 2; price = 800;};</v>
      </c>
      <c r="E649" t="str">
        <f>IFERROR(__xludf.DUMMYFUNCTION("if(ISBLANK(A649),, if('RHS INPUT'!E649=1,CONCATENATE(CHAR(34),To_Text('RHS INPUT'!C649),CHAR(34),CHAR(44)),""""))"),"""1Rnd_HE_Grenade_shell"",")</f>
        <v>"1Rnd_HE_Grenade_shell",</v>
      </c>
      <c r="F649" s="28" t="str">
        <f>IF(isblank(A649) ,Concatenate("&gt; ",'RHS INPUT'!A649) , if('RHS INPUT'!F649=1,CONCATENATE(round('RHS INPUT'!N649),Char(44)," ",'RHS INPUT'!C649),""))</f>
        <v>11, 1Rnd_HE_Grenade_shell</v>
      </c>
    </row>
    <row r="650" ht="12.0" customHeight="1">
      <c r="A650" s="1" t="str">
        <f>IFERROR(__xludf.DUMMYFUNCTION("if(ISBLANK('RHS INPUT'!C650),,CONCATENATE(CHAR(34),To_Text('RHS INPUT'!C650),CHAR(34),CHAR(44)))"),"""3Rnd_HE_Grenade_shell"",")</f>
        <v>"3Rnd_HE_Grenade_shell",</v>
      </c>
      <c r="B650" s="18" t="str">
        <f>if(isblank('RHS INPUT'!A650),,CONCATENATE("/*  ",'RHS INPUT'!A650,"  */"))</f>
        <v/>
      </c>
      <c r="C650" s="22" t="str">
        <f>if(isblank(A650),,if('RHS INPUT'!D650=1,Concatenate("class ",'RHS INPUT'!C650),))</f>
        <v>class 3Rnd_HE_Grenade_shell</v>
      </c>
      <c r="D650" s="27" t="str">
        <f>if(ISBLANK(A650),,if('RHS INPUT'!D650=1,CONCATENATE("{quality = ",'RHS INPUT'!G650,"; price = ",Round('RHS INPUT'!M650),";};"),""))</f>
        <v>{quality = 2; price = 2400;};</v>
      </c>
      <c r="E650" t="str">
        <f>IFERROR(__xludf.DUMMYFUNCTION("if(ISBLANK(A650),, if('RHS INPUT'!E650=1,CONCATENATE(CHAR(34),To_Text('RHS INPUT'!C650),CHAR(34),CHAR(44)),""""))"),"""3Rnd_HE_Grenade_shell"",")</f>
        <v>"3Rnd_HE_Grenade_shell",</v>
      </c>
      <c r="F650" s="28" t="str">
        <f>IF(isblank(A650) ,Concatenate("&gt; ",'RHS INPUT'!A650) , if('RHS INPUT'!F650=1,CONCATENATE(round('RHS INPUT'!N650),Char(44)," ",'RHS INPUT'!C650),""))</f>
        <v>4, 3Rnd_HE_Grenade_shell</v>
      </c>
    </row>
    <row r="651" ht="12.0" customHeight="1">
      <c r="A651" s="1" t="str">
        <f>IFERROR(__xludf.DUMMYFUNCTION("if(ISBLANK('RHS INPUT'!C651),,CONCATENATE(CHAR(34),To_Text('RHS INPUT'!C651),CHAR(34),CHAR(44)))"),"""APERSBoundingMine_Range_Mag"",")</f>
        <v>"APERSBoundingMine_Range_Mag",</v>
      </c>
      <c r="B651" s="18" t="str">
        <f>if(isblank('RHS INPUT'!A651),,CONCATENATE("/*  ",'RHS INPUT'!A651,"  */"))</f>
        <v/>
      </c>
      <c r="C651" s="22" t="str">
        <f>if(isblank(A651),,if('RHS INPUT'!D651=1,Concatenate("class ",'RHS INPUT'!C651),))</f>
        <v>class APERSBoundingMine_Range_Mag</v>
      </c>
      <c r="D651" s="27" t="str">
        <f>if(ISBLANK(A651),,if('RHS INPUT'!D651=1,CONCATENATE("{quality = ",'RHS INPUT'!G651,"; price = ",Round('RHS INPUT'!M651),";};"),""))</f>
        <v>{quality = 2; price = 2000;};</v>
      </c>
      <c r="E651" t="str">
        <f>IFERROR(__xludf.DUMMYFUNCTION("if(ISBLANK(A651),, if('RHS INPUT'!E651=1,CONCATENATE(CHAR(34),To_Text('RHS INPUT'!C651),CHAR(34),CHAR(44)),""""))"),"""APERSBoundingMine_Range_Mag"",")</f>
        <v>"APERSBoundingMine_Range_Mag",</v>
      </c>
      <c r="F651" s="28" t="str">
        <f>IF(isblank(A651) ,Concatenate("&gt; ",'RHS INPUT'!A651) , if('RHS INPUT'!F651=1,CONCATENATE(round('RHS INPUT'!N651),Char(44)," ",'RHS INPUT'!C651),""))</f>
        <v>5, APERSBoundingMine_Range_Mag</v>
      </c>
    </row>
    <row r="652" ht="12.0" customHeight="1">
      <c r="A652" s="1" t="str">
        <f>IFERROR(__xludf.DUMMYFUNCTION("if(ISBLANK('RHS INPUT'!C652),,CONCATENATE(CHAR(34),To_Text('RHS INPUT'!C652),CHAR(34),CHAR(44)))"),"""APERSMine_Range_Mag"",")</f>
        <v>"APERSMine_Range_Mag",</v>
      </c>
      <c r="B652" s="18" t="str">
        <f>if(isblank('RHS INPUT'!A652),,CONCATENATE("/*  ",'RHS INPUT'!A652,"  */"))</f>
        <v/>
      </c>
      <c r="C652" s="22" t="str">
        <f>if(isblank(A652),,if('RHS INPUT'!D652=1,Concatenate("class ",'RHS INPUT'!C652),))</f>
        <v>class APERSMine_Range_Mag</v>
      </c>
      <c r="D652" s="27" t="str">
        <f>if(ISBLANK(A652),,if('RHS INPUT'!D652=1,CONCATENATE("{quality = ",'RHS INPUT'!G652,"; price = ",Round('RHS INPUT'!M652),";};"),""))</f>
        <v>{quality = 2; price = 2000;};</v>
      </c>
      <c r="E652" t="str">
        <f>IFERROR(__xludf.DUMMYFUNCTION("if(ISBLANK(A652),, if('RHS INPUT'!E652=1,CONCATENATE(CHAR(34),To_Text('RHS INPUT'!C652),CHAR(34),CHAR(44)),""""))"),"""APERSMine_Range_Mag"",")</f>
        <v>"APERSMine_Range_Mag",</v>
      </c>
      <c r="F652" s="28" t="str">
        <f>IF(isblank(A652) ,Concatenate("&gt; ",'RHS INPUT'!A652) , if('RHS INPUT'!F652=1,CONCATENATE(round('RHS INPUT'!N652),Char(44)," ",'RHS INPUT'!C652),""))</f>
        <v>5, APERSMine_Range_Mag</v>
      </c>
    </row>
    <row r="653" ht="12.0" customHeight="1">
      <c r="A653" s="1" t="str">
        <f>IFERROR(__xludf.DUMMYFUNCTION("if(ISBLANK('RHS INPUT'!C653),,CONCATENATE(CHAR(34),To_Text('RHS INPUT'!C653),CHAR(34),CHAR(44)))"),"""APERSTripMine_Wire_Mag"",")</f>
        <v>"APERSTripMine_Wire_Mag",</v>
      </c>
      <c r="B653" s="18" t="str">
        <f>if(isblank('RHS INPUT'!A653),,CONCATENATE("/*  ",'RHS INPUT'!A653,"  */"))</f>
        <v/>
      </c>
      <c r="C653" s="22" t="str">
        <f>if(isblank(A653),,if('RHS INPUT'!D653=1,Concatenate("class ",'RHS INPUT'!C653),))</f>
        <v>class APERSTripMine_Wire_Mag</v>
      </c>
      <c r="D653" s="27" t="str">
        <f>if(ISBLANK(A653),,if('RHS INPUT'!D653=1,CONCATENATE("{quality = ",'RHS INPUT'!G653,"; price = ",Round('RHS INPUT'!M653),";};"),""))</f>
        <v>{quality = 2; price = 2000;};</v>
      </c>
      <c r="E653" t="str">
        <f>IFERROR(__xludf.DUMMYFUNCTION("if(ISBLANK(A653),, if('RHS INPUT'!E653=1,CONCATENATE(CHAR(34),To_Text('RHS INPUT'!C653),CHAR(34),CHAR(44)),""""))"),"""APERSTripMine_Wire_Mag"",")</f>
        <v>"APERSTripMine_Wire_Mag",</v>
      </c>
      <c r="F653" s="28" t="str">
        <f>IF(isblank(A653) ,Concatenate("&gt; ",'RHS INPUT'!A653) , if('RHS INPUT'!F653=1,CONCATENATE(round('RHS INPUT'!N653),Char(44)," ",'RHS INPUT'!C653),""))</f>
        <v>5, APERSTripMine_Wire_Mag</v>
      </c>
    </row>
    <row r="654" ht="12.0" customHeight="1">
      <c r="A654" s="1" t="str">
        <f>IFERROR(__xludf.DUMMYFUNCTION("if(ISBLANK('RHS INPUT'!C654),,CONCATENATE(CHAR(34),To_Text('RHS INPUT'!C654),CHAR(34),CHAR(44)))"),"""ClaymoreDirectionalMine_Remote_Mag"",")</f>
        <v>"ClaymoreDirectionalMine_Remote_Mag",</v>
      </c>
      <c r="B654" s="18" t="str">
        <f>if(isblank('RHS INPUT'!A654),,CONCATENATE("/*  ",'RHS INPUT'!A654,"  */"))</f>
        <v/>
      </c>
      <c r="C654" s="22" t="str">
        <f>if(isblank(A654),,if('RHS INPUT'!D654=1,Concatenate("class ",'RHS INPUT'!C654),))</f>
        <v>class ClaymoreDirectionalMine_Remote_Mag</v>
      </c>
      <c r="D654" s="27" t="str">
        <f>if(ISBLANK(A654),,if('RHS INPUT'!D654=1,CONCATENATE("{quality = ",'RHS INPUT'!G654,"; price = ",Round('RHS INPUT'!M654),";};"),""))</f>
        <v>{quality = 2; price = 2000;};</v>
      </c>
      <c r="E654" t="str">
        <f>IFERROR(__xludf.DUMMYFUNCTION("if(ISBLANK(A654),, if('RHS INPUT'!E654=1,CONCATENATE(CHAR(34),To_Text('RHS INPUT'!C654),CHAR(34),CHAR(44)),""""))"),"""ClaymoreDirectionalMine_Remote_Mag"",")</f>
        <v>"ClaymoreDirectionalMine_Remote_Mag",</v>
      </c>
      <c r="F654" s="28" t="str">
        <f>IF(isblank(A654) ,Concatenate("&gt; ",'RHS INPUT'!A654) , if('RHS INPUT'!F654=1,CONCATENATE(round('RHS INPUT'!N654),Char(44)," ",'RHS INPUT'!C654),""))</f>
        <v>5, ClaymoreDirectionalMine_Remote_Mag</v>
      </c>
    </row>
    <row r="655" ht="12.0" customHeight="1">
      <c r="A655" s="1" t="str">
        <f>IFERROR(__xludf.DUMMYFUNCTION("if(ISBLANK('RHS INPUT'!C655),,CONCATENATE(CHAR(34),To_Text('RHS INPUT'!C655),CHAR(34),CHAR(44)))"),"""DemoCharge_Remote_Mag"",")</f>
        <v>"DemoCharge_Remote_Mag",</v>
      </c>
      <c r="B655" s="18" t="str">
        <f>if(isblank('RHS INPUT'!A655),,CONCATENATE("/*  ",'RHS INPUT'!A655,"  */"))</f>
        <v/>
      </c>
      <c r="C655" s="22" t="str">
        <f>if(isblank(A655),,if('RHS INPUT'!D655=1,Concatenate("class ",'RHS INPUT'!C655),))</f>
        <v>class DemoCharge_Remote_Mag</v>
      </c>
      <c r="D655" s="27" t="str">
        <f>if(ISBLANK(A655),,if('RHS INPUT'!D655=1,CONCATENATE("{quality = ",'RHS INPUT'!G655,"; price = ",Round('RHS INPUT'!M655),";};"),""))</f>
        <v>{quality = 2; price = 4000;};</v>
      </c>
      <c r="E655" t="str">
        <f>IFERROR(__xludf.DUMMYFUNCTION("if(ISBLANK(A655),, if('RHS INPUT'!E655=1,CONCATENATE(CHAR(34),To_Text('RHS INPUT'!C655),CHAR(34),CHAR(44)),""""))"),"""DemoCharge_Remote_Mag"",")</f>
        <v>"DemoCharge_Remote_Mag",</v>
      </c>
      <c r="F655" s="28" t="str">
        <f>IF(isblank(A655) ,Concatenate("&gt; ",'RHS INPUT'!A655) , if('RHS INPUT'!F655=1,CONCATENATE(round('RHS INPUT'!N655),Char(44)," ",'RHS INPUT'!C655),""))</f>
        <v>2, DemoCharge_Remote_Mag</v>
      </c>
    </row>
    <row r="656" ht="12.0" customHeight="1">
      <c r="A656" s="1" t="str">
        <f>IFERROR(__xludf.DUMMYFUNCTION("if(ISBLANK('RHS INPUT'!C656),,CONCATENATE(CHAR(34),To_Text('RHS INPUT'!C656),CHAR(34),CHAR(44)))"),"""IEDLandBig_Remote_Mag"",")</f>
        <v>"IEDLandBig_Remote_Mag",</v>
      </c>
      <c r="B656" s="18" t="str">
        <f>if(isblank('RHS INPUT'!A656),,CONCATENATE("/*  ",'RHS INPUT'!A656,"  */"))</f>
        <v/>
      </c>
      <c r="C656" s="22" t="str">
        <f>if(isblank(A656),,if('RHS INPUT'!D656=1,Concatenate("class ",'RHS INPUT'!C656),))</f>
        <v>class IEDLandBig_Remote_Mag</v>
      </c>
      <c r="D656" s="27" t="str">
        <f>if(ISBLANK(A656),,if('RHS INPUT'!D656=1,CONCATENATE("{quality = ",'RHS INPUT'!G656,"; price = ",Round('RHS INPUT'!M656),";};"),""))</f>
        <v>{quality = 2; price = 8000;};</v>
      </c>
      <c r="E656" t="str">
        <f>IFERROR(__xludf.DUMMYFUNCTION("if(ISBLANK(A656),, if('RHS INPUT'!E656=1,CONCATENATE(CHAR(34),To_Text('RHS INPUT'!C656),CHAR(34),CHAR(44)),""""))"),"""IEDLandBig_Remote_Mag"",")</f>
        <v>"IEDLandBig_Remote_Mag",</v>
      </c>
      <c r="F656" s="28" t="str">
        <f>IF(isblank(A656) ,Concatenate("&gt; ",'RHS INPUT'!A656) , if('RHS INPUT'!F656=1,CONCATENATE(round('RHS INPUT'!N656),Char(44)," ",'RHS INPUT'!C656),""))</f>
        <v>1, IEDLandBig_Remote_Mag</v>
      </c>
    </row>
    <row r="657" ht="12.0" customHeight="1">
      <c r="A657" s="1" t="str">
        <f>IFERROR(__xludf.DUMMYFUNCTION("if(ISBLANK('RHS INPUT'!C657),,CONCATENATE(CHAR(34),To_Text('RHS INPUT'!C657),CHAR(34),CHAR(44)))"),"""IEDLandSmall_Remote_Mag"",")</f>
        <v>"IEDLandSmall_Remote_Mag",</v>
      </c>
      <c r="B657" s="18" t="str">
        <f>if(isblank('RHS INPUT'!A657),,CONCATENATE("/*  ",'RHS INPUT'!A657,"  */"))</f>
        <v/>
      </c>
      <c r="C657" s="22" t="str">
        <f>if(isblank(A657),,if('RHS INPUT'!D657=1,Concatenate("class ",'RHS INPUT'!C657),))</f>
        <v>class IEDLandSmall_Remote_Mag</v>
      </c>
      <c r="D657" s="27" t="str">
        <f>if(ISBLANK(A657),,if('RHS INPUT'!D657=1,CONCATENATE("{quality = ",'RHS INPUT'!G657,"; price = ",Round('RHS INPUT'!M657),";};"),""))</f>
        <v>{quality = 2; price = 6000;};</v>
      </c>
      <c r="E657" t="str">
        <f>IFERROR(__xludf.DUMMYFUNCTION("if(ISBLANK(A657),, if('RHS INPUT'!E657=1,CONCATENATE(CHAR(34),To_Text('RHS INPUT'!C657),CHAR(34),CHAR(44)),""""))"),"""IEDLandSmall_Remote_Mag"",")</f>
        <v>"IEDLandSmall_Remote_Mag",</v>
      </c>
      <c r="F657" s="28" t="str">
        <f>IF(isblank(A657) ,Concatenate("&gt; ",'RHS INPUT'!A657) , if('RHS INPUT'!F657=1,CONCATENATE(round('RHS INPUT'!N657),Char(44)," ",'RHS INPUT'!C657),""))</f>
        <v>2, IEDLandSmall_Remote_Mag</v>
      </c>
    </row>
    <row r="658" ht="12.0" customHeight="1">
      <c r="A658" s="1" t="str">
        <f>IFERROR(__xludf.DUMMYFUNCTION("if(ISBLANK('RHS INPUT'!C658),,CONCATENATE(CHAR(34),To_Text('RHS INPUT'!C658),CHAR(34),CHAR(44)))"),"""IEDUrbanBig_Remote_Mag"",")</f>
        <v>"IEDUrbanBig_Remote_Mag",</v>
      </c>
      <c r="B658" s="18" t="str">
        <f>if(isblank('RHS INPUT'!A658),,CONCATENATE("/*  ",'RHS INPUT'!A658,"  */"))</f>
        <v/>
      </c>
      <c r="C658" s="22" t="str">
        <f>if(isblank(A658),,if('RHS INPUT'!D658=1,Concatenate("class ",'RHS INPUT'!C658),))</f>
        <v>class IEDUrbanBig_Remote_Mag</v>
      </c>
      <c r="D658" s="27" t="str">
        <f>if(ISBLANK(A658),,if('RHS INPUT'!D658=1,CONCATENATE("{quality = ",'RHS INPUT'!G658,"; price = ",Round('RHS INPUT'!M658),";};"),""))</f>
        <v>{quality = 2; price = 8000;};</v>
      </c>
      <c r="E658" t="str">
        <f>IFERROR(__xludf.DUMMYFUNCTION("if(ISBLANK(A658),, if('RHS INPUT'!E658=1,CONCATENATE(CHAR(34),To_Text('RHS INPUT'!C658),CHAR(34),CHAR(44)),""""))"),"""IEDUrbanBig_Remote_Mag"",")</f>
        <v>"IEDUrbanBig_Remote_Mag",</v>
      </c>
      <c r="F658" s="28" t="str">
        <f>IF(isblank(A658) ,Concatenate("&gt; ",'RHS INPUT'!A658) , if('RHS INPUT'!F658=1,CONCATENATE(round('RHS INPUT'!N658),Char(44)," ",'RHS INPUT'!C658),""))</f>
        <v>1, IEDUrbanBig_Remote_Mag</v>
      </c>
    </row>
    <row r="659" ht="12.0" customHeight="1">
      <c r="A659" s="1" t="str">
        <f>IFERROR(__xludf.DUMMYFUNCTION("if(ISBLANK('RHS INPUT'!C659),,CONCATENATE(CHAR(34),To_Text('RHS INPUT'!C659),CHAR(34),CHAR(44)))"),"""IEDUrbanSmall_Remote_Mag"",")</f>
        <v>"IEDUrbanSmall_Remote_Mag",</v>
      </c>
      <c r="B659" s="18" t="str">
        <f>if(isblank('RHS INPUT'!A659),,CONCATENATE("/*  ",'RHS INPUT'!A659,"  */"))</f>
        <v/>
      </c>
      <c r="C659" s="22" t="str">
        <f>if(isblank(A659),,if('RHS INPUT'!D659=1,Concatenate("class ",'RHS INPUT'!C659),))</f>
        <v>class IEDUrbanSmall_Remote_Mag</v>
      </c>
      <c r="D659" s="27" t="str">
        <f>if(ISBLANK(A659),,if('RHS INPUT'!D659=1,CONCATENATE("{quality = ",'RHS INPUT'!G659,"; price = ",Round('RHS INPUT'!M659),";};"),""))</f>
        <v>{quality = 2; price = 6000;};</v>
      </c>
      <c r="E659" t="str">
        <f>IFERROR(__xludf.DUMMYFUNCTION("if(ISBLANK(A659),, if('RHS INPUT'!E659=1,CONCATENATE(CHAR(34),To_Text('RHS INPUT'!C659),CHAR(34),CHAR(44)),""""))"),"""IEDUrbanSmall_Remote_Mag"",")</f>
        <v>"IEDUrbanSmall_Remote_Mag",</v>
      </c>
      <c r="F659" s="28" t="str">
        <f>IF(isblank(A659) ,Concatenate("&gt; ",'RHS INPUT'!A659) , if('RHS INPUT'!F659=1,CONCATENATE(round('RHS INPUT'!N659),Char(44)," ",'RHS INPUT'!C659),""))</f>
        <v>2, IEDUrbanSmall_Remote_Mag</v>
      </c>
    </row>
    <row r="660" ht="12.0" customHeight="1">
      <c r="A660" s="1" t="str">
        <f>IFERROR(__xludf.DUMMYFUNCTION("if(ISBLANK('RHS INPUT'!C660),,CONCATENATE(CHAR(34),To_Text('RHS INPUT'!C660),CHAR(34),CHAR(44)))"),"""SatchelCharge_Remote_Mag"",")</f>
        <v>"SatchelCharge_Remote_Mag",</v>
      </c>
      <c r="B660" s="18" t="str">
        <f>if(isblank('RHS INPUT'!A660),,CONCATENATE("/*  ",'RHS INPUT'!A660,"  */"))</f>
        <v/>
      </c>
      <c r="C660" s="22" t="str">
        <f>if(isblank(A660),,if('RHS INPUT'!D660=1,Concatenate("class ",'RHS INPUT'!C660),))</f>
        <v>class SatchelCharge_Remote_Mag</v>
      </c>
      <c r="D660" s="27" t="str">
        <f>if(ISBLANK(A660),,if('RHS INPUT'!D660=1,CONCATENATE("{quality = ",'RHS INPUT'!G660,"; price = ",Round('RHS INPUT'!M660),";};"),""))</f>
        <v>{quality = 2; price = 10000;};</v>
      </c>
      <c r="E660" t="str">
        <f>IFERROR(__xludf.DUMMYFUNCTION("if(ISBLANK(A660),, if('RHS INPUT'!E660=1,CONCATENATE(CHAR(34),To_Text('RHS INPUT'!C660),CHAR(34),CHAR(44)),""""))"),"""SatchelCharge_Remote_Mag"",")</f>
        <v>"SatchelCharge_Remote_Mag",</v>
      </c>
      <c r="F660" s="28" t="str">
        <f>IF(isblank(A660) ,Concatenate("&gt; ",'RHS INPUT'!A660) , if('RHS INPUT'!F660=1,CONCATENATE(round('RHS INPUT'!N660),Char(44)," ",'RHS INPUT'!C660),""))</f>
        <v>1, SatchelCharge_Remote_Mag</v>
      </c>
    </row>
    <row r="661" ht="12.0" customHeight="1">
      <c r="A661" s="1" t="str">
        <f>IFERROR(__xludf.DUMMYFUNCTION("if(ISBLANK('RHS INPUT'!C661),,CONCATENATE(CHAR(34),To_Text('RHS INPUT'!C661),CHAR(34),CHAR(44)))"),"""SLAMDirectionalMine_Wire_Mag"",")</f>
        <v>"SLAMDirectionalMine_Wire_Mag",</v>
      </c>
      <c r="B661" s="18" t="str">
        <f>if(isblank('RHS INPUT'!A661),,CONCATENATE("/*  ",'RHS INPUT'!A661,"  */"))</f>
        <v/>
      </c>
      <c r="C661" s="22" t="str">
        <f>if(isblank(A661),,if('RHS INPUT'!D661=1,Concatenate("class ",'RHS INPUT'!C661),))</f>
        <v>class SLAMDirectionalMine_Wire_Mag</v>
      </c>
      <c r="D661" s="27" t="str">
        <f>if(ISBLANK(A661),,if('RHS INPUT'!D661=1,CONCATENATE("{quality = ",'RHS INPUT'!G661,"; price = ",Round('RHS INPUT'!M661),";};"),""))</f>
        <v>{quality = 2; price = 4000;};</v>
      </c>
      <c r="E661" t="str">
        <f>IFERROR(__xludf.DUMMYFUNCTION("if(ISBLANK(A661),, if('RHS INPUT'!E661=1,CONCATENATE(CHAR(34),To_Text('RHS INPUT'!C661),CHAR(34),CHAR(44)),""""))"),"""SLAMDirectionalMine_Wire_Mag"",")</f>
        <v>"SLAMDirectionalMine_Wire_Mag",</v>
      </c>
      <c r="F661" s="28" t="str">
        <f>IF(isblank(A661) ,Concatenate("&gt; ",'RHS INPUT'!A661) , if('RHS INPUT'!F661=1,CONCATENATE(round('RHS INPUT'!N661),Char(44)," ",'RHS INPUT'!C661),""))</f>
        <v>2, SLAMDirectionalMine_Wire_Mag</v>
      </c>
    </row>
    <row r="662" ht="12.0" customHeight="1">
      <c r="A662" s="1" t="str">
        <f>IFERROR(__xludf.DUMMYFUNCTION("if(ISBLANK('RHS INPUT'!C662),,CONCATENATE(CHAR(34),To_Text('RHS INPUT'!C662),CHAR(34),CHAR(44)))"),"""rhs_mag_mk84"",")</f>
        <v>"rhs_mag_mk84",</v>
      </c>
      <c r="B662" s="18" t="str">
        <f>if(isblank('RHS INPUT'!A662),,CONCATENATE("/*  ",'RHS INPUT'!A662,"  */"))</f>
        <v/>
      </c>
      <c r="C662" s="22" t="str">
        <f>if(isblank(A662),,if('RHS INPUT'!D662=1,Concatenate("class ",'RHS INPUT'!C662),))</f>
        <v>class rhs_mag_mk84</v>
      </c>
      <c r="D662" s="27" t="str">
        <f>if(ISBLANK(A662),,if('RHS INPUT'!D662=1,CONCATENATE("{quality = ",'RHS INPUT'!G662,"; price = ",Round('RHS INPUT'!M662),";};"),""))</f>
        <v>{quality = 1; price = 200;};</v>
      </c>
      <c r="E662" t="str">
        <f>IFERROR(__xludf.DUMMYFUNCTION("if(ISBLANK(A662),, if('RHS INPUT'!E662=1,CONCATENATE(CHAR(34),To_Text('RHS INPUT'!C662),CHAR(34),CHAR(44)),""""))"),"""rhs_mag_mk84"",")</f>
        <v>"rhs_mag_mk84",</v>
      </c>
      <c r="F662" s="28" t="str">
        <f>IF(isblank(A662) ,Concatenate("&gt; ",'RHS INPUT'!A662) , if('RHS INPUT'!F662=1,CONCATENATE(round('RHS INPUT'!N662),Char(44)," ",'RHS INPUT'!C662),""))</f>
        <v>33, rhs_mag_mk84</v>
      </c>
    </row>
    <row r="663" ht="12.0" customHeight="1">
      <c r="A663" s="1" t="str">
        <f>IFERROR(__xludf.DUMMYFUNCTION("if(ISBLANK('RHS INPUT'!C663),,CONCATENATE(CHAR(34),To_Text('RHS INPUT'!C663),CHAR(34),CHAR(44)))"),"""rhs_VOG25"",")</f>
        <v>"rhs_VOG25",</v>
      </c>
      <c r="B663" s="18" t="str">
        <f>if(isblank('RHS INPUT'!A663),,CONCATENATE("/*  ",'RHS INPUT'!A663,"  */"))</f>
        <v/>
      </c>
      <c r="C663" s="22" t="str">
        <f>if(isblank(A663),,if('RHS INPUT'!D663=1,Concatenate("class ",'RHS INPUT'!C663),))</f>
        <v>class rhs_VOG25</v>
      </c>
      <c r="D663" s="27" t="str">
        <f>if(ISBLANK(A663),,if('RHS INPUT'!D663=1,CONCATENATE("{quality = ",'RHS INPUT'!G663,"; price = ",Round('RHS INPUT'!M663),";};"),""))</f>
        <v>{quality = 2; price = 800;};</v>
      </c>
      <c r="E663" t="str">
        <f>IFERROR(__xludf.DUMMYFUNCTION("if(ISBLANK(A663),, if('RHS INPUT'!E663=1,CONCATENATE(CHAR(34),To_Text('RHS INPUT'!C663),CHAR(34),CHAR(44)),""""))"),"""rhs_VOG25"",")</f>
        <v>"rhs_VOG25",</v>
      </c>
      <c r="F663" s="28" t="str">
        <f>IF(isblank(A663) ,Concatenate("&gt; ",'RHS INPUT'!A663) , if('RHS INPUT'!F663=1,CONCATENATE(round('RHS INPUT'!N663),Char(44)," ",'RHS INPUT'!C663),""))</f>
        <v>11, rhs_VOG25</v>
      </c>
    </row>
    <row r="664" ht="12.0" customHeight="1">
      <c r="A664" s="1" t="str">
        <f>IFERROR(__xludf.DUMMYFUNCTION("if(ISBLANK('RHS INPUT'!C664),,CONCATENATE(CHAR(34),To_Text('RHS INPUT'!C664),CHAR(34),CHAR(44)))"),"""rhs_VOG25P"",")</f>
        <v>"rhs_VOG25P",</v>
      </c>
      <c r="B664" s="18" t="str">
        <f>if(isblank('RHS INPUT'!A664),,CONCATENATE("/*  ",'RHS INPUT'!A664,"  */"))</f>
        <v/>
      </c>
      <c r="C664" s="22" t="str">
        <f>if(isblank(A664),,if('RHS INPUT'!D664=1,Concatenate("class ",'RHS INPUT'!C664),))</f>
        <v>class rhs_VOG25P</v>
      </c>
      <c r="D664" s="27" t="str">
        <f>if(ISBLANK(A664),,if('RHS INPUT'!D664=1,CONCATENATE("{quality = ",'RHS INPUT'!G664,"; price = ",Round('RHS INPUT'!M664),";};"),""))</f>
        <v>{quality = 2; price = 800;};</v>
      </c>
      <c r="E664" t="str">
        <f>IFERROR(__xludf.DUMMYFUNCTION("if(ISBLANK(A664),, if('RHS INPUT'!E664=1,CONCATENATE(CHAR(34),To_Text('RHS INPUT'!C664),CHAR(34),CHAR(44)),""""))"),"""rhs_VOG25P"",")</f>
        <v>"rhs_VOG25P",</v>
      </c>
      <c r="F664" s="28" t="str">
        <f>IF(isblank(A664) ,Concatenate("&gt; ",'RHS INPUT'!A664) , if('RHS INPUT'!F664=1,CONCATENATE(round('RHS INPUT'!N664),Char(44)," ",'RHS INPUT'!C664),""))</f>
        <v>11, rhs_VOG25P</v>
      </c>
    </row>
    <row r="665" ht="12.0" customHeight="1">
      <c r="A665" s="1" t="str">
        <f>IFERROR(__xludf.DUMMYFUNCTION("if(ISBLANK('RHS INPUT'!C665),,CONCATENATE(CHAR(34),To_Text('RHS INPUT'!C665),CHAR(34),CHAR(44)))"),"""rhs_VG40TB"",")</f>
        <v>"rhs_VG40TB",</v>
      </c>
      <c r="B665" s="18" t="str">
        <f>if(isblank('RHS INPUT'!A665),,CONCATENATE("/*  ",'RHS INPUT'!A665,"  */"))</f>
        <v/>
      </c>
      <c r="C665" s="22" t="str">
        <f>if(isblank(A665),,if('RHS INPUT'!D665=1,Concatenate("class ",'RHS INPUT'!C665),))</f>
        <v>class rhs_VG40TB</v>
      </c>
      <c r="D665" s="27" t="str">
        <f>if(ISBLANK(A665),,if('RHS INPUT'!D665=1,CONCATENATE("{quality = ",'RHS INPUT'!G665,"; price = ",Round('RHS INPUT'!M665),";};"),""))</f>
        <v>{quality = 3; price = 1200;};</v>
      </c>
      <c r="E665" t="str">
        <f>IFERROR(__xludf.DUMMYFUNCTION("if(ISBLANK(A665),, if('RHS INPUT'!E665=1,CONCATENATE(CHAR(34),To_Text('RHS INPUT'!C665),CHAR(34),CHAR(44)),""""))"),"""rhs_VG40TB"",")</f>
        <v>"rhs_VG40TB",</v>
      </c>
      <c r="F665" s="28" t="str">
        <f>IF(isblank(A665) ,Concatenate("&gt; ",'RHS INPUT'!A665) , if('RHS INPUT'!F665=1,CONCATENATE(round('RHS INPUT'!N665),Char(44)," ",'RHS INPUT'!C665),""))</f>
        <v>8, rhs_VG40TB</v>
      </c>
    </row>
    <row r="666" ht="12.0" customHeight="1">
      <c r="A666" s="1" t="str">
        <f>IFERROR(__xludf.DUMMYFUNCTION("if(ISBLANK('RHS INPUT'!C666),,CONCATENATE(CHAR(34),To_Text('RHS INPUT'!C666),CHAR(34),CHAR(44)))"),"""rhs_VG40SZ"",")</f>
        <v>"rhs_VG40SZ",</v>
      </c>
      <c r="B666" s="18" t="str">
        <f>if(isblank('RHS INPUT'!A666),,CONCATENATE("/*  ",'RHS INPUT'!A666,"  */"))</f>
        <v/>
      </c>
      <c r="C666" s="22" t="str">
        <f>if(isblank(A666),,if('RHS INPUT'!D666=1,Concatenate("class ",'RHS INPUT'!C666),))</f>
        <v>class rhs_VG40SZ</v>
      </c>
      <c r="D666" s="27" t="str">
        <f>if(ISBLANK(A666),,if('RHS INPUT'!D666=1,CONCATENATE("{quality = ",'RHS INPUT'!G666,"; price = ",Round('RHS INPUT'!M666),";};"),""))</f>
        <v>{quality = 1; price = 200;};</v>
      </c>
      <c r="E666" t="str">
        <f>IFERROR(__xludf.DUMMYFUNCTION("if(ISBLANK(A666),, if('RHS INPUT'!E666=1,CONCATENATE(CHAR(34),To_Text('RHS INPUT'!C666),CHAR(34),CHAR(44)),""""))"),"""rhs_VG40SZ"",")</f>
        <v>"rhs_VG40SZ",</v>
      </c>
      <c r="F666" s="28" t="str">
        <f>IF(isblank(A666) ,Concatenate("&gt; ",'RHS INPUT'!A666) , if('RHS INPUT'!F666=1,CONCATENATE(round('RHS INPUT'!N666),Char(44)," ",'RHS INPUT'!C666),""))</f>
        <v>33, rhs_VG40SZ</v>
      </c>
    </row>
    <row r="667" ht="12.0" customHeight="1">
      <c r="A667" s="1" t="str">
        <f>IFERROR(__xludf.DUMMYFUNCTION("if(ISBLANK('RHS INPUT'!C667),,CONCATENATE(CHAR(34),To_Text('RHS INPUT'!C667),CHAR(34),CHAR(44)))"),"""rhs_mag_M441_HE"",")</f>
        <v>"rhs_mag_M441_HE",</v>
      </c>
      <c r="B667" s="18" t="str">
        <f>if(isblank('RHS INPUT'!A667),,CONCATENATE("/*  ",'RHS INPUT'!A667,"  */"))</f>
        <v/>
      </c>
      <c r="C667" s="22" t="str">
        <f>if(isblank(A667),,if('RHS INPUT'!D667=1,Concatenate("class ",'RHS INPUT'!C667),))</f>
        <v>class rhs_mag_M441_HE</v>
      </c>
      <c r="D667" s="27" t="str">
        <f>if(ISBLANK(A667),,if('RHS INPUT'!D667=1,CONCATENATE("{quality = ",'RHS INPUT'!G667,"; price = ",Round('RHS INPUT'!M667),";};"),""))</f>
        <v>{quality = 2; price = 800;};</v>
      </c>
      <c r="E667" t="str">
        <f>IFERROR(__xludf.DUMMYFUNCTION("if(ISBLANK(A667),, if('RHS INPUT'!E667=1,CONCATENATE(CHAR(34),To_Text('RHS INPUT'!C667),CHAR(34),CHAR(44)),""""))"),"""rhs_mag_M441_HE"",")</f>
        <v>"rhs_mag_M441_HE",</v>
      </c>
      <c r="F667" s="28" t="str">
        <f>IF(isblank(A667) ,Concatenate("&gt; ",'RHS INPUT'!A667) , if('RHS INPUT'!F667=1,CONCATENATE(round('RHS INPUT'!N667),Char(44)," ",'RHS INPUT'!C667),""))</f>
        <v>11, rhs_mag_M441_HE</v>
      </c>
    </row>
    <row r="668" ht="12.0" customHeight="1">
      <c r="A668" s="1" t="str">
        <f>IFERROR(__xludf.DUMMYFUNCTION("if(ISBLANK('RHS INPUT'!C668),,CONCATENATE(CHAR(34),To_Text('RHS INPUT'!C668),CHAR(34),CHAR(44)))"),"""rhs_mag_M443_HEDP"",")</f>
        <v>"rhs_mag_M443_HEDP",</v>
      </c>
      <c r="B668" s="18" t="str">
        <f>if(isblank('RHS INPUT'!A668),,CONCATENATE("/*  ",'RHS INPUT'!A668,"  */"))</f>
        <v>/*  Broken  */</v>
      </c>
      <c r="C668" s="22" t="str">
        <f>if(isblank(A668),,if('RHS INPUT'!D668=1,Concatenate("class ",'RHS INPUT'!C668),))</f>
        <v>class rhs_mag_M443_HEDP</v>
      </c>
      <c r="D668" s="27" t="str">
        <f>if(ISBLANK(A668),,if('RHS INPUT'!D668=1,CONCATENATE("{quality = ",'RHS INPUT'!G668,"; price = ",Round('RHS INPUT'!M668),";};"),""))</f>
        <v>{quality = 3; price = 1200;};</v>
      </c>
      <c r="E668" t="str">
        <f>IFERROR(__xludf.DUMMYFUNCTION("if(ISBLANK(A668),, if('RHS INPUT'!E668=1,CONCATENATE(CHAR(34),To_Text('RHS INPUT'!C668),CHAR(34),CHAR(44)),""""))"),"")</f>
        <v/>
      </c>
      <c r="F668" s="28" t="str">
        <f>IF(isblank(A668) ,Concatenate("&gt; ",'RHS INPUT'!A668) , if('RHS INPUT'!F668=1,CONCATENATE(round('RHS INPUT'!N668),Char(44)," ",'RHS INPUT'!C668),""))</f>
        <v>8, rhs_mag_M443_HEDP</v>
      </c>
    </row>
    <row r="669" ht="12.0" customHeight="1">
      <c r="A669" s="1" t="str">
        <f>IFERROR(__xludf.DUMMYFUNCTION("if(ISBLANK('RHS INPUT'!C669),,CONCATENATE(CHAR(34),To_Text('RHS INPUT'!C669),CHAR(34),CHAR(44)))"),"""rhs_mag_m4009"",")</f>
        <v>"rhs_mag_m4009",</v>
      </c>
      <c r="B669" s="18" t="str">
        <f>if(isblank('RHS INPUT'!A669),,CONCATENATE("/*  ",'RHS INPUT'!A669,"  */"))</f>
        <v/>
      </c>
      <c r="C669" s="22" t="str">
        <f>if(isblank(A669),,if('RHS INPUT'!D669=1,Concatenate("class ",'RHS INPUT'!C669),))</f>
        <v>class rhs_mag_m4009</v>
      </c>
      <c r="D669" s="27" t="str">
        <f>if(ISBLANK(A669),,if('RHS INPUT'!D669=1,CONCATENATE("{quality = ",'RHS INPUT'!G669,"; price = ",Round('RHS INPUT'!M669),";};"),""))</f>
        <v>{quality = 1; price = 200;};</v>
      </c>
      <c r="E669" t="str">
        <f>IFERROR(__xludf.DUMMYFUNCTION("if(ISBLANK(A669),, if('RHS INPUT'!E669=1,CONCATENATE(CHAR(34),To_Text('RHS INPUT'!C669),CHAR(34),CHAR(44)),""""))"),"""rhs_mag_m4009"",")</f>
        <v>"rhs_mag_m4009",</v>
      </c>
      <c r="F669" s="28" t="str">
        <f>IF(isblank(A669) ,Concatenate("&gt; ",'RHS INPUT'!A669) , if('RHS INPUT'!F669=1,CONCATENATE(round('RHS INPUT'!N669),Char(44)," ",'RHS INPUT'!C669),""))</f>
        <v>33, rhs_mag_m4009</v>
      </c>
    </row>
    <row r="670" ht="12.0" customHeight="1">
      <c r="A670" s="1" t="str">
        <f>IFERROR(__xludf.DUMMYFUNCTION("if(ISBLANK('RHS INPUT'!C670),,CONCATENATE(CHAR(34),To_Text('RHS INPUT'!C670),CHAR(34),CHAR(44)))"),"")</f>
        <v/>
      </c>
      <c r="B670" s="18" t="str">
        <f>if(isblank('RHS INPUT'!A670),,CONCATENATE("/*  ",'RHS INPUT'!A670,"  */"))</f>
        <v>/*  HARDWARE  */</v>
      </c>
      <c r="C670" s="22" t="str">
        <f>if(isblank(A670),,if('RHS INPUT'!D670=1,Concatenate("class ",'RHS INPUT'!C670),))</f>
        <v/>
      </c>
      <c r="D670" s="27" t="str">
        <f>if(ISBLANK(A670),,if('RHS INPUT'!D670=1,CONCATENATE("{quality = ",'RHS INPUT'!G670,"; price = ",Round('RHS INPUT'!M670),";};"),""))</f>
        <v/>
      </c>
      <c r="E670" t="str">
        <f>IFERROR(__xludf.DUMMYFUNCTION("if(ISBLANK(A670),, if('RHS INPUT'!E670=1,CONCATENATE(CHAR(34),To_Text('RHS INPUT'!C670),CHAR(34),CHAR(44)),""""))"),"")</f>
        <v/>
      </c>
      <c r="F670" s="28" t="str">
        <f>IF(isblank(A670) ,Concatenate("&gt; ",'RHS INPUT'!A670) , if('RHS INPUT'!F670=1,CONCATENATE(round('RHS INPUT'!N670),Char(44)," ",'RHS INPUT'!C670),""))</f>
        <v>&gt; HARDWARE</v>
      </c>
    </row>
    <row r="671" ht="12.0" customHeight="1">
      <c r="A671" s="1" t="str">
        <f>IFERROR(__xludf.DUMMYFUNCTION("if(ISBLANK('RHS INPUT'!C671),,CONCATENATE(CHAR(34),To_Text('RHS INPUT'!C671),CHAR(34),CHAR(44)))"),"""Exile_Item_Rope"",")</f>
        <v>"Exile_Item_Rope",</v>
      </c>
      <c r="B671" s="18" t="str">
        <f>if(isblank('RHS INPUT'!A671),,CONCATENATE("/*  ",'RHS INPUT'!A671,"  */"))</f>
        <v/>
      </c>
      <c r="C671" s="22" t="str">
        <f>if(isblank(A671),,if('RHS INPUT'!D671=1,Concatenate("class ",'RHS INPUT'!C671),))</f>
        <v>class Exile_Item_Rope</v>
      </c>
      <c r="D671" s="27" t="str">
        <f>if(ISBLANK(A671),,if('RHS INPUT'!D671=1,CONCATENATE("{quality = ",'RHS INPUT'!G671,"; price = ",Round('RHS INPUT'!M671),";};"),""))</f>
        <v>{quality = 1; price = 20;};</v>
      </c>
      <c r="E671" t="str">
        <f>IFERROR(__xludf.DUMMYFUNCTION("if(ISBLANK(A671),, if('RHS INPUT'!E671=1,CONCATENATE(CHAR(34),To_Text('RHS INPUT'!C671),CHAR(34),CHAR(44)),""""))"),"""Exile_Item_Rope"",")</f>
        <v>"Exile_Item_Rope",</v>
      </c>
      <c r="F671" s="28" t="str">
        <f>IF(isblank(A671) ,Concatenate("&gt; ",'RHS INPUT'!A671) , if('RHS INPUT'!F671=1,CONCATENATE(round('RHS INPUT'!N671),Char(44)," ",'RHS INPUT'!C671),""))</f>
        <v>83, Exile_Item_Rope</v>
      </c>
    </row>
    <row r="672" ht="12.0" customHeight="1">
      <c r="A672" s="1" t="str">
        <f>IFERROR(__xludf.DUMMYFUNCTION("if(ISBLANK('RHS INPUT'!C672),,CONCATENATE(CHAR(34),To_Text('RHS INPUT'!C672),CHAR(34),CHAR(44)))"),"""Exile_Item_DuctTape"",")</f>
        <v>"Exile_Item_DuctTape",</v>
      </c>
      <c r="B672" s="18" t="str">
        <f>if(isblank('RHS INPUT'!A672),,CONCATENATE("/*  ",'RHS INPUT'!A672,"  */"))</f>
        <v/>
      </c>
      <c r="C672" s="22" t="str">
        <f>if(isblank(A672),,if('RHS INPUT'!D672=1,Concatenate("class ",'RHS INPUT'!C672),))</f>
        <v>class Exile_Item_DuctTape</v>
      </c>
      <c r="D672" s="27" t="str">
        <f>if(ISBLANK(A672),,if('RHS INPUT'!D672=1,CONCATENATE("{quality = ",'RHS INPUT'!G672,"; price = ",Round('RHS INPUT'!M672),";};"),""))</f>
        <v>{quality = 2; price = 300;};</v>
      </c>
      <c r="E672" t="str">
        <f>IFERROR(__xludf.DUMMYFUNCTION("if(ISBLANK(A672),, if('RHS INPUT'!E672=1,CONCATENATE(CHAR(34),To_Text('RHS INPUT'!C672),CHAR(34),CHAR(44)),""""))"),"""Exile_Item_DuctTape"",")</f>
        <v>"Exile_Item_DuctTape",</v>
      </c>
      <c r="F672" s="28" t="str">
        <f>IF(isblank(A672) ,Concatenate("&gt; ",'RHS INPUT'!A672) , if('RHS INPUT'!F672=1,CONCATENATE(round('RHS INPUT'!N672),Char(44)," ",'RHS INPUT'!C672),""))</f>
        <v>25, Exile_Item_DuctTape</v>
      </c>
    </row>
    <row r="673" ht="12.0" customHeight="1">
      <c r="A673" s="1" t="str">
        <f>IFERROR(__xludf.DUMMYFUNCTION("if(ISBLANK('RHS INPUT'!C673),,CONCATENATE(CHAR(34),To_Text('RHS INPUT'!C673),CHAR(34),CHAR(44)))"),"""Exile_Item_ExtensionCord"",")</f>
        <v>"Exile_Item_ExtensionCord",</v>
      </c>
      <c r="B673" s="18" t="str">
        <f>if(isblank('RHS INPUT'!A673),,CONCATENATE("/*  ",'RHS INPUT'!A673,"  */"))</f>
        <v/>
      </c>
      <c r="C673" s="22" t="str">
        <f>if(isblank(A673),,if('RHS INPUT'!D673=1,Concatenate("class ",'RHS INPUT'!C673),))</f>
        <v>class Exile_Item_ExtensionCord</v>
      </c>
      <c r="D673" s="27" t="str">
        <f>if(ISBLANK(A673),,if('RHS INPUT'!D673=1,CONCATENATE("{quality = ",'RHS INPUT'!G673,"; price = ",Round('RHS INPUT'!M673),";};"),""))</f>
        <v>{quality = 1; price = 40;};</v>
      </c>
      <c r="E673" t="str">
        <f>IFERROR(__xludf.DUMMYFUNCTION("if(ISBLANK(A673),, if('RHS INPUT'!E673=1,CONCATENATE(CHAR(34),To_Text('RHS INPUT'!C673),CHAR(34),CHAR(44)),""""))"),"""Exile_Item_ExtensionCord"",")</f>
        <v>"Exile_Item_ExtensionCord",</v>
      </c>
      <c r="F673" s="28" t="str">
        <f>IF(isblank(A673) ,Concatenate("&gt; ",'RHS INPUT'!A673) , if('RHS INPUT'!F673=1,CONCATENATE(round('RHS INPUT'!N673),Char(44)," ",'RHS INPUT'!C673),""))</f>
        <v>71, Exile_Item_ExtensionCord</v>
      </c>
    </row>
    <row r="674" ht="12.0" customHeight="1">
      <c r="A674" s="1" t="str">
        <f>IFERROR(__xludf.DUMMYFUNCTION("if(ISBLANK('RHS INPUT'!C674),,CONCATENATE(CHAR(34),To_Text('RHS INPUT'!C674),CHAR(34),CHAR(44)))"),"""Exile_Item_FuelCanisterEmpty"",")</f>
        <v>"Exile_Item_FuelCanisterEmpty",</v>
      </c>
      <c r="B674" s="18" t="str">
        <f>if(isblank('RHS INPUT'!A674),,CONCATENATE("/*  ",'RHS INPUT'!A674,"  */"))</f>
        <v/>
      </c>
      <c r="C674" s="22" t="str">
        <f>if(isblank(A674),,if('RHS INPUT'!D674=1,Concatenate("class ",'RHS INPUT'!C674),))</f>
        <v>class Exile_Item_FuelCanisterEmpty</v>
      </c>
      <c r="D674" s="27" t="str">
        <f>if(ISBLANK(A674),,if('RHS INPUT'!D674=1,CONCATENATE("{quality = ",'RHS INPUT'!G674,"; price = ",Round('RHS INPUT'!M674),";};"),""))</f>
        <v>{quality = 1; price = 40;};</v>
      </c>
      <c r="E674" t="str">
        <f>IFERROR(__xludf.DUMMYFUNCTION("if(ISBLANK(A674),, if('RHS INPUT'!E674=1,CONCATENATE(CHAR(34),To_Text('RHS INPUT'!C674),CHAR(34),CHAR(44)),""""))"),"""Exile_Item_FuelCanisterEmpty"",")</f>
        <v>"Exile_Item_FuelCanisterEmpty",</v>
      </c>
      <c r="F674" s="28" t="str">
        <f>IF(isblank(A674) ,Concatenate("&gt; ",'RHS INPUT'!A674) , if('RHS INPUT'!F674=1,CONCATENATE(round('RHS INPUT'!N674),Char(44)," ",'RHS INPUT'!C674),""))</f>
        <v>71, Exile_Item_FuelCanisterEmpty</v>
      </c>
    </row>
    <row r="675" ht="12.0" customHeight="1">
      <c r="A675" s="1" t="str">
        <f>IFERROR(__xludf.DUMMYFUNCTION("if(ISBLANK('RHS INPUT'!C675),,CONCATENATE(CHAR(34),To_Text('RHS INPUT'!C675),CHAR(34),CHAR(44)))"),"""Exile_Item_JunkMetal"",")</f>
        <v>"Exile_Item_JunkMetal",</v>
      </c>
      <c r="B675" s="18" t="str">
        <f>if(isblank('RHS INPUT'!A675),,CONCATENATE("/*  ",'RHS INPUT'!A675,"  */"))</f>
        <v/>
      </c>
      <c r="C675" s="22" t="str">
        <f>if(isblank(A675),,if('RHS INPUT'!D675=1,Concatenate("class ",'RHS INPUT'!C675),))</f>
        <v>class Exile_Item_JunkMetal</v>
      </c>
      <c r="D675" s="27" t="str">
        <f>if(ISBLANK(A675),,if('RHS INPUT'!D675=1,CONCATENATE("{quality = ",'RHS INPUT'!G675,"; price = ",Round('RHS INPUT'!M675),";};"),""))</f>
        <v>{quality = 2; price = 400;};</v>
      </c>
      <c r="E675" t="str">
        <f>IFERROR(__xludf.DUMMYFUNCTION("if(ISBLANK(A675),, if('RHS INPUT'!E675=1,CONCATENATE(CHAR(34),To_Text('RHS INPUT'!C675),CHAR(34),CHAR(44)),""""))"),"""Exile_Item_JunkMetal"",")</f>
        <v>"Exile_Item_JunkMetal",</v>
      </c>
      <c r="F675" s="28" t="str">
        <f>IF(isblank(A675) ,Concatenate("&gt; ",'RHS INPUT'!A675) , if('RHS INPUT'!F675=1,CONCATENATE(round('RHS INPUT'!N675),Char(44)," ",'RHS INPUT'!C675),""))</f>
        <v>20, Exile_Item_JunkMetal</v>
      </c>
    </row>
    <row r="676" ht="12.0" customHeight="1">
      <c r="A676" s="1" t="str">
        <f>IFERROR(__xludf.DUMMYFUNCTION("if(ISBLANK('RHS INPUT'!C676),,CONCATENATE(CHAR(34),To_Text('RHS INPUT'!C676),CHAR(34),CHAR(44)))"),"""Exile_Item_LightBulb"",")</f>
        <v>"Exile_Item_LightBulb",</v>
      </c>
      <c r="B676" s="18" t="str">
        <f>if(isblank('RHS INPUT'!A676),,CONCATENATE("/*  ",'RHS INPUT'!A676,"  */"))</f>
        <v/>
      </c>
      <c r="C676" s="22" t="str">
        <f>if(isblank(A676),,if('RHS INPUT'!D676=1,Concatenate("class ",'RHS INPUT'!C676),))</f>
        <v>class Exile_Item_LightBulb</v>
      </c>
      <c r="D676" s="27" t="str">
        <f>if(ISBLANK(A676),,if('RHS INPUT'!D676=1,CONCATENATE("{quality = ",'RHS INPUT'!G676,"; price = ",Round('RHS INPUT'!M676),";};"),""))</f>
        <v>{quality = 1; price = 20;};</v>
      </c>
      <c r="E676" t="str">
        <f>IFERROR(__xludf.DUMMYFUNCTION("if(ISBLANK(A676),, if('RHS INPUT'!E676=1,CONCATENATE(CHAR(34),To_Text('RHS INPUT'!C676),CHAR(34),CHAR(44)),""""))"),"""Exile_Item_LightBulb"",")</f>
        <v>"Exile_Item_LightBulb",</v>
      </c>
      <c r="F676" s="28" t="str">
        <f>IF(isblank(A676) ,Concatenate("&gt; ",'RHS INPUT'!A676) , if('RHS INPUT'!F676=1,CONCATENATE(round('RHS INPUT'!N676),Char(44)," ",'RHS INPUT'!C676),""))</f>
        <v>83, Exile_Item_LightBulb</v>
      </c>
    </row>
    <row r="677" ht="12.0" customHeight="1">
      <c r="A677" s="1" t="str">
        <f>IFERROR(__xludf.DUMMYFUNCTION("if(ISBLANK('RHS INPUT'!C677),,CONCATENATE(CHAR(34),To_Text('RHS INPUT'!C677),CHAR(34),CHAR(44)))"),"""Exile_Item_MetalBoard"",")</f>
        <v>"Exile_Item_MetalBoard",</v>
      </c>
      <c r="B677" s="18" t="str">
        <f>if(isblank('RHS INPUT'!A677),,CONCATENATE("/*  ",'RHS INPUT'!A677,"  */"))</f>
        <v/>
      </c>
      <c r="C677" s="22" t="str">
        <f>if(isblank(A677),,if('RHS INPUT'!D677=1,Concatenate("class ",'RHS INPUT'!C677),))</f>
        <v>class Exile_Item_MetalBoard</v>
      </c>
      <c r="D677" s="27" t="str">
        <f>if(ISBLANK(A677),,if('RHS INPUT'!D677=1,CONCATENATE("{quality = ",'RHS INPUT'!G677,"; price = ",Round('RHS INPUT'!M677),";};"),""))</f>
        <v>{quality = 1; price = 400;};</v>
      </c>
      <c r="E677" t="str">
        <f>IFERROR(__xludf.DUMMYFUNCTION("if(ISBLANK(A677),, if('RHS INPUT'!E677=1,CONCATENATE(CHAR(34),To_Text('RHS INPUT'!C677),CHAR(34),CHAR(44)),""""))"),"""Exile_Item_MetalBoard"",")</f>
        <v>"Exile_Item_MetalBoard",</v>
      </c>
      <c r="F677" s="28" t="str">
        <f>IF(isblank(A677) ,Concatenate("&gt; ",'RHS INPUT'!A677) , if('RHS INPUT'!F677=1,CONCATENATE(round('RHS INPUT'!N677),Char(44)," ",'RHS INPUT'!C677),""))</f>
        <v>20, Exile_Item_MetalBoard</v>
      </c>
    </row>
    <row r="678" ht="12.0" customHeight="1">
      <c r="A678" s="1" t="str">
        <f>IFERROR(__xludf.DUMMYFUNCTION("if(ISBLANK('RHS INPUT'!C678),,CONCATENATE(CHAR(34),To_Text('RHS INPUT'!C678),CHAR(34),CHAR(44)))"),"""Exile_Item_SafeKit"",")</f>
        <v>"Exile_Item_SafeKit",</v>
      </c>
      <c r="B678" s="18" t="str">
        <f>if(isblank('RHS INPUT'!A678),,CONCATENATE("/*  ",'RHS INPUT'!A678,"  */"))</f>
        <v/>
      </c>
      <c r="C678" s="22" t="str">
        <f>if(isblank(A678),,if('RHS INPUT'!D678=1,Concatenate("class ",'RHS INPUT'!C678),))</f>
        <v>class Exile_Item_SafeKit</v>
      </c>
      <c r="D678" s="27" t="str">
        <f>if(ISBLANK(A678),,if('RHS INPUT'!D678=1,CONCATENATE("{quality = ",'RHS INPUT'!G678,"; price = ",Round('RHS INPUT'!M678),";};"),""))</f>
        <v>{quality = 4; price = 10000;};</v>
      </c>
      <c r="E678" t="str">
        <f>IFERROR(__xludf.DUMMYFUNCTION("if(ISBLANK(A678),, if('RHS INPUT'!E678=1,CONCATENATE(CHAR(34),To_Text('RHS INPUT'!C678),CHAR(34),CHAR(44)),""""))"),"""Exile_Item_SafeKit"",")</f>
        <v>"Exile_Item_SafeKit",</v>
      </c>
      <c r="F678" s="28" t="str">
        <f>IF(isblank(A678) ,Concatenate("&gt; ",'RHS INPUT'!A678) , if('RHS INPUT'!F678=1,CONCATENATE(round('RHS INPUT'!N678),Char(44)," ",'RHS INPUT'!C678),""))</f>
        <v>1, Exile_Item_SafeKit</v>
      </c>
    </row>
    <row r="679" ht="12.0" customHeight="1">
      <c r="A679" s="1" t="str">
        <f>IFERROR(__xludf.DUMMYFUNCTION("if(ISBLANK('RHS INPUT'!C679),,CONCATENATE(CHAR(34),To_Text('RHS INPUT'!C679),CHAR(34),CHAR(44)))"),"""Exile_Item_CodeLock"",")</f>
        <v>"Exile_Item_CodeLock",</v>
      </c>
      <c r="B679" s="18" t="str">
        <f>if(isblank('RHS INPUT'!A679),,CONCATENATE("/*  ",'RHS INPUT'!A679,"  */"))</f>
        <v/>
      </c>
      <c r="C679" s="22" t="str">
        <f>if(isblank(A679),,if('RHS INPUT'!D679=1,Concatenate("class ",'RHS INPUT'!C679),))</f>
        <v>class Exile_Item_CodeLock</v>
      </c>
      <c r="D679" s="27" t="str">
        <f>if(ISBLANK(A679),,if('RHS INPUT'!D679=1,CONCATENATE("{quality = ",'RHS INPUT'!G679,"; price = ",Round('RHS INPUT'!M679),";};"),""))</f>
        <v>{quality = 3; price = 5000;};</v>
      </c>
      <c r="E679" t="str">
        <f>IFERROR(__xludf.DUMMYFUNCTION("if(ISBLANK(A679),, if('RHS INPUT'!E679=1,CONCATENATE(CHAR(34),To_Text('RHS INPUT'!C679),CHAR(34),CHAR(44)),""""))"),"""Exile_Item_CodeLock"",")</f>
        <v>"Exile_Item_CodeLock",</v>
      </c>
      <c r="F679" s="28" t="str">
        <f>IF(isblank(A679) ,Concatenate("&gt; ",'RHS INPUT'!A679) , if('RHS INPUT'!F679=1,CONCATENATE(round('RHS INPUT'!N679),Char(44)," ",'RHS INPUT'!C679),""))</f>
        <v>2, Exile_Item_CodeLock</v>
      </c>
    </row>
    <row r="680" ht="12.0" customHeight="1">
      <c r="A680" s="1" t="str">
        <f>IFERROR(__xludf.DUMMYFUNCTION("if(ISBLANK('RHS INPUT'!C680),,CONCATENATE(CHAR(34),To_Text('RHS INPUT'!C680),CHAR(34),CHAR(44)))"),"""Exile_Item_CamoTentKit"",")</f>
        <v>"Exile_Item_CamoTentKit",</v>
      </c>
      <c r="B680" s="18" t="str">
        <f>if(isblank('RHS INPUT'!A680),,CONCATENATE("/*  ",'RHS INPUT'!A680,"  */"))</f>
        <v/>
      </c>
      <c r="C680" s="22" t="str">
        <f>if(isblank(A680),,if('RHS INPUT'!D680=1,Concatenate("class ",'RHS INPUT'!C680),))</f>
        <v>class Exile_Item_CamoTentKit</v>
      </c>
      <c r="D680" s="27" t="str">
        <f>if(ISBLANK(A680),,if('RHS INPUT'!D680=1,CONCATENATE("{quality = ",'RHS INPUT'!G680,"; price = ",Round('RHS INPUT'!M680),";};"),""))</f>
        <v>{quality = 2; price = 250;};</v>
      </c>
      <c r="E680" t="str">
        <f>IFERROR(__xludf.DUMMYFUNCTION("if(ISBLANK(A680),, if('RHS INPUT'!E680=1,CONCATENATE(CHAR(34),To_Text('RHS INPUT'!C680),CHAR(34),CHAR(44)),""""))"),"""Exile_Item_CamoTentKit"",")</f>
        <v>"Exile_Item_CamoTentKit",</v>
      </c>
      <c r="F680" s="28" t="str">
        <f>IF(isblank(A680) ,Concatenate("&gt; ",'RHS INPUT'!A680) , if('RHS INPUT'!F680=1,CONCATENATE(round('RHS INPUT'!N680),Char(44)," ",'RHS INPUT'!C680),""))</f>
        <v>29, Exile_Item_CamoTentKit</v>
      </c>
    </row>
    <row r="681" ht="12.0" customHeight="1">
      <c r="A681" s="1" t="str">
        <f>IFERROR(__xludf.DUMMYFUNCTION("if(ISBLANK('RHS INPUT'!C681),,CONCATENATE(CHAR(34),To_Text('RHS INPUT'!C681),CHAR(34),CHAR(44)))"),"""Exile_Item_MetalPole"",")</f>
        <v>"Exile_Item_MetalPole",</v>
      </c>
      <c r="B681" s="18" t="str">
        <f>if(isblank('RHS INPUT'!A681),,CONCATENATE("/*  ",'RHS INPUT'!A681,"  */"))</f>
        <v/>
      </c>
      <c r="C681" s="22" t="str">
        <f>if(isblank(A681),,if('RHS INPUT'!D681=1,Concatenate("class ",'RHS INPUT'!C681),))</f>
        <v>class Exile_Item_MetalPole</v>
      </c>
      <c r="D681" s="27" t="str">
        <f>if(ISBLANK(A681),,if('RHS INPUT'!D681=1,CONCATENATE("{quality = ",'RHS INPUT'!G681,"; price = ",Round('RHS INPUT'!M681),";};"),""))</f>
        <v>{quality = 2; price = 400;};</v>
      </c>
      <c r="E681" t="str">
        <f>IFERROR(__xludf.DUMMYFUNCTION("if(ISBLANK(A681),, if('RHS INPUT'!E681=1,CONCATENATE(CHAR(34),To_Text('RHS INPUT'!C681),CHAR(34),CHAR(44)),""""))"),"""Exile_Item_MetalPole"",")</f>
        <v>"Exile_Item_MetalPole",</v>
      </c>
      <c r="F681" s="28" t="str">
        <f>IF(isblank(A681) ,Concatenate("&gt; ",'RHS INPUT'!A681) , if('RHS INPUT'!F681=1,CONCATENATE(round('RHS INPUT'!N681),Char(44)," ",'RHS INPUT'!C681),""))</f>
        <v>20, Exile_Item_MetalPole</v>
      </c>
    </row>
    <row r="682" ht="12.0" customHeight="1">
      <c r="A682" s="1" t="str">
        <f>IFERROR(__xludf.DUMMYFUNCTION("if(ISBLANK('RHS INPUT'!C682),,CONCATENATE(CHAR(34),To_Text('RHS INPUT'!C682),CHAR(34),CHAR(44)))"),"")</f>
        <v/>
      </c>
      <c r="B682" s="18" t="str">
        <f>if(isblank('RHS INPUT'!A682),,CONCATENATE("/*  ",'RHS INPUT'!A682,"  */"))</f>
        <v>/*  TOOLS  */</v>
      </c>
      <c r="C682" s="22" t="str">
        <f>if(isblank(A682),,if('RHS INPUT'!D682=1,Concatenate("class ",'RHS INPUT'!C682),))</f>
        <v/>
      </c>
      <c r="D682" s="27" t="str">
        <f>if(ISBLANK(A682),,if('RHS INPUT'!D682=1,CONCATENATE("{quality = ",'RHS INPUT'!G682,"; price = ",Round('RHS INPUT'!M682),";};"),""))</f>
        <v/>
      </c>
      <c r="E682" t="str">
        <f>IFERROR(__xludf.DUMMYFUNCTION("if(ISBLANK(A682),, if('RHS INPUT'!E682=1,CONCATENATE(CHAR(34),To_Text('RHS INPUT'!C682),CHAR(34),CHAR(44)),""""))"),"")</f>
        <v/>
      </c>
      <c r="F682" s="28" t="str">
        <f>IF(isblank(A682) ,Concatenate("&gt; ",'RHS INPUT'!A682) , if('RHS INPUT'!F682=1,CONCATENATE(round('RHS INPUT'!N682),Char(44)," ",'RHS INPUT'!C682),""))</f>
        <v>&gt; TOOLS</v>
      </c>
    </row>
    <row r="683" ht="12.0" customHeight="1">
      <c r="A683" s="1" t="str">
        <f>IFERROR(__xludf.DUMMYFUNCTION("if(ISBLANK('RHS INPUT'!C683),,CONCATENATE(CHAR(34),To_Text('RHS INPUT'!C683),CHAR(34),CHAR(44)))"),"""Exile_Item_Matches"",")</f>
        <v>"Exile_Item_Matches",</v>
      </c>
      <c r="B683" s="18" t="str">
        <f>if(isblank('RHS INPUT'!A683),,CONCATENATE("/*  ",'RHS INPUT'!A683,"  */"))</f>
        <v/>
      </c>
      <c r="C683" s="22" t="str">
        <f>if(isblank(A683),,if('RHS INPUT'!D683=1,Concatenate("class ",'RHS INPUT'!C683),))</f>
        <v>class Exile_Item_Matches</v>
      </c>
      <c r="D683" s="27" t="str">
        <f>if(ISBLANK(A683),,if('RHS INPUT'!D683=1,CONCATENATE("{quality = ",'RHS INPUT'!G683,"; price = ",Round('RHS INPUT'!M683),";};"),""))</f>
        <v>{quality = 1; price = 20;};</v>
      </c>
      <c r="E683" t="str">
        <f>IFERROR(__xludf.DUMMYFUNCTION("if(ISBLANK(A683),, if('RHS INPUT'!E683=1,CONCATENATE(CHAR(34),To_Text('RHS INPUT'!C683),CHAR(34),CHAR(44)),""""))"),"""Exile_Item_Matches"",")</f>
        <v>"Exile_Item_Matches",</v>
      </c>
      <c r="F683" s="28" t="str">
        <f>IF(isblank(A683) ,Concatenate("&gt; ",'RHS INPUT'!A683) , if('RHS INPUT'!F683=1,CONCATENATE(round('RHS INPUT'!N683),Char(44)," ",'RHS INPUT'!C683),""))</f>
        <v>83, Exile_Item_Matches</v>
      </c>
    </row>
    <row r="684" ht="12.0" customHeight="1">
      <c r="A684" s="1" t="str">
        <f>IFERROR(__xludf.DUMMYFUNCTION("if(ISBLANK('RHS INPUT'!C684),,CONCATENATE(CHAR(34),To_Text('RHS INPUT'!C684),CHAR(34),CHAR(44)))"),"""Exile_Item_CookingPot"",")</f>
        <v>"Exile_Item_CookingPot",</v>
      </c>
      <c r="B684" s="18" t="str">
        <f>if(isblank('RHS INPUT'!A684),,CONCATENATE("/*  ",'RHS INPUT'!A684,"  */"))</f>
        <v/>
      </c>
      <c r="C684" s="22" t="str">
        <f>if(isblank(A684),,if('RHS INPUT'!D684=1,Concatenate("class ",'RHS INPUT'!C684),))</f>
        <v>class Exile_Item_CookingPot</v>
      </c>
      <c r="D684" s="27" t="str">
        <f>if(ISBLANK(A684),,if('RHS INPUT'!D684=1,CONCATENATE("{quality = ",'RHS INPUT'!G684,"; price = ",Round('RHS INPUT'!M684),";};"),""))</f>
        <v>{quality = 1; price = 80;};</v>
      </c>
      <c r="E684" t="str">
        <f>IFERROR(__xludf.DUMMYFUNCTION("if(ISBLANK(A684),, if('RHS INPUT'!E684=1,CONCATENATE(CHAR(34),To_Text('RHS INPUT'!C684),CHAR(34),CHAR(44)),""""))"),"""Exile_Item_CookingPot"",")</f>
        <v>"Exile_Item_CookingPot",</v>
      </c>
      <c r="F684" s="28" t="str">
        <f>IF(isblank(A684) ,Concatenate("&gt; ",'RHS INPUT'!A684) , if('RHS INPUT'!F684=1,CONCATENATE(round('RHS INPUT'!N684),Char(44)," ",'RHS INPUT'!C684),""))</f>
        <v>56, Exile_Item_CookingPot</v>
      </c>
    </row>
    <row r="685" ht="12.0" customHeight="1">
      <c r="A685" s="1" t="str">
        <f>IFERROR(__xludf.DUMMYFUNCTION("if(ISBLANK('RHS INPUT'!C685),,CONCATENATE(CHAR(34),To_Text('RHS INPUT'!C685),CHAR(34),CHAR(44)))"),"""Exile_Melee_Axe"",")</f>
        <v>"Exile_Melee_Axe",</v>
      </c>
      <c r="B685" s="18" t="str">
        <f>if(isblank('RHS INPUT'!A685),,CONCATENATE("/*  ",'RHS INPUT'!A685,"  */"))</f>
        <v/>
      </c>
      <c r="C685" s="22" t="str">
        <f>if(isblank(A685),,if('RHS INPUT'!D685=1,Concatenate("class ",'RHS INPUT'!C685),))</f>
        <v>class Exile_Melee_Axe</v>
      </c>
      <c r="D685" s="27" t="str">
        <f>if(ISBLANK(A685),,if('RHS INPUT'!D685=1,CONCATENATE("{quality = ",'RHS INPUT'!G685,"; price = ",Round('RHS INPUT'!M685),";};"),""))</f>
        <v>{quality = 2; price = 400;};</v>
      </c>
      <c r="E685" t="str">
        <f>IFERROR(__xludf.DUMMYFUNCTION("if(ISBLANK(A685),, if('RHS INPUT'!E685=1,CONCATENATE(CHAR(34),To_Text('RHS INPUT'!C685),CHAR(34),CHAR(44)),""""))"),"""Exile_Melee_Axe"",")</f>
        <v>"Exile_Melee_Axe",</v>
      </c>
      <c r="F685" s="28" t="str">
        <f>IF(isblank(A685) ,Concatenate("&gt; ",'RHS INPUT'!A685) , if('RHS INPUT'!F685=1,CONCATENATE(round('RHS INPUT'!N685),Char(44)," ",'RHS INPUT'!C685),""))</f>
        <v>20, Exile_Melee_Axe</v>
      </c>
    </row>
    <row r="686" ht="12.0" customHeight="1">
      <c r="A686" s="1" t="str">
        <f>IFERROR(__xludf.DUMMYFUNCTION("if(ISBLANK('RHS INPUT'!C686),,CONCATENATE(CHAR(34),To_Text('RHS INPUT'!C686),CHAR(34),CHAR(44)))"),"""Exile_Item_CanOpener"",")</f>
        <v>"Exile_Item_CanOpener",</v>
      </c>
      <c r="B686" s="18" t="str">
        <f>if(isblank('RHS INPUT'!A686),,CONCATENATE("/*  ",'RHS INPUT'!A686,"  */"))</f>
        <v/>
      </c>
      <c r="C686" s="22" t="str">
        <f>if(isblank(A686),,if('RHS INPUT'!D686=1,Concatenate("class ",'RHS INPUT'!C686),))</f>
        <v>class Exile_Item_CanOpener</v>
      </c>
      <c r="D686" s="27" t="str">
        <f>if(ISBLANK(A686),,if('RHS INPUT'!D686=1,CONCATENATE("{quality = ",'RHS INPUT'!G686,"; price = ",Round('RHS INPUT'!M686),";};"),""))</f>
        <v>{quality = 1; price = 80;};</v>
      </c>
      <c r="E686" t="str">
        <f>IFERROR(__xludf.DUMMYFUNCTION("if(ISBLANK(A686),, if('RHS INPUT'!E686=1,CONCATENATE(CHAR(34),To_Text('RHS INPUT'!C686),CHAR(34),CHAR(44)),""""))"),"""Exile_Item_CanOpener"",")</f>
        <v>"Exile_Item_CanOpener",</v>
      </c>
      <c r="F686" s="28" t="str">
        <f>IF(isblank(A686) ,Concatenate("&gt; ",'RHS INPUT'!A686) , if('RHS INPUT'!F686=1,CONCATENATE(round('RHS INPUT'!N686),Char(44)," ",'RHS INPUT'!C686),""))</f>
        <v>56, Exile_Item_CanOpener</v>
      </c>
    </row>
    <row r="687" ht="12.0" customHeight="1">
      <c r="A687" s="1" t="str">
        <f>IFERROR(__xludf.DUMMYFUNCTION("if(ISBLANK('RHS INPUT'!C687),,CONCATENATE(CHAR(34),To_Text('RHS INPUT'!C687),CHAR(34),CHAR(44)))"),"""Exile_Item_Handsaw"",")</f>
        <v>"Exile_Item_Handsaw",</v>
      </c>
      <c r="B687" s="18" t="str">
        <f>if(isblank('RHS INPUT'!A687),,CONCATENATE("/*  ",'RHS INPUT'!A687,"  */"))</f>
        <v/>
      </c>
      <c r="C687" s="22" t="str">
        <f>if(isblank(A687),,if('RHS INPUT'!D687=1,Concatenate("class ",'RHS INPUT'!C687),))</f>
        <v>class Exile_Item_Handsaw</v>
      </c>
      <c r="D687" s="27" t="str">
        <f>if(ISBLANK(A687),,if('RHS INPUT'!D687=1,CONCATENATE("{quality = ",'RHS INPUT'!G687,"; price = ",Round('RHS INPUT'!M687),";};"),""))</f>
        <v>{quality = 3; price = 1500;};</v>
      </c>
      <c r="E687" t="str">
        <f>IFERROR(__xludf.DUMMYFUNCTION("if(ISBLANK(A687),, if('RHS INPUT'!E687=1,CONCATENATE(CHAR(34),To_Text('RHS INPUT'!C687),CHAR(34),CHAR(44)),""""))"),"""Exile_Item_Handsaw"",")</f>
        <v>"Exile_Item_Handsaw",</v>
      </c>
      <c r="F687" s="28" t="str">
        <f>IF(isblank(A687) ,Concatenate("&gt; ",'RHS INPUT'!A687) , if('RHS INPUT'!F687=1,CONCATENATE(round('RHS INPUT'!N687),Char(44)," ",'RHS INPUT'!C687),""))</f>
        <v>6, Exile_Item_Handsaw</v>
      </c>
    </row>
    <row r="688" ht="12.0" customHeight="1">
      <c r="A688" s="1" t="str">
        <f>IFERROR(__xludf.DUMMYFUNCTION("if(ISBLANK('RHS INPUT'!C688),,CONCATENATE(CHAR(34),To_Text('RHS INPUT'!C688),CHAR(34),CHAR(44)))"),"""Exile_Item_Pliers"",")</f>
        <v>"Exile_Item_Pliers",</v>
      </c>
      <c r="B688" s="18" t="str">
        <f>if(isblank('RHS INPUT'!A688),,CONCATENATE("/*  ",'RHS INPUT'!A688,"  */"))</f>
        <v/>
      </c>
      <c r="C688" s="22" t="str">
        <f>if(isblank(A688),,if('RHS INPUT'!D688=1,Concatenate("class ",'RHS INPUT'!C688),))</f>
        <v>class Exile_Item_Pliers</v>
      </c>
      <c r="D688" s="27" t="str">
        <f>if(ISBLANK(A688),,if('RHS INPUT'!D688=1,CONCATENATE("{quality = ",'RHS INPUT'!G688,"; price = ",Round('RHS INPUT'!M688),";};"),""))</f>
        <v>{quality = 3; price = 1050;};</v>
      </c>
      <c r="E688" t="str">
        <f>IFERROR(__xludf.DUMMYFUNCTION("if(ISBLANK(A688),, if('RHS INPUT'!E688=1,CONCATENATE(CHAR(34),To_Text('RHS INPUT'!C688),CHAR(34),CHAR(44)),""""))"),"""Exile_Item_Pliers"",")</f>
        <v>"Exile_Item_Pliers",</v>
      </c>
      <c r="F688" s="28" t="str">
        <f>IF(isblank(A688) ,Concatenate("&gt; ",'RHS INPUT'!A688) , if('RHS INPUT'!F688=1,CONCATENATE(round('RHS INPUT'!N688),Char(44)," ",'RHS INPUT'!C688),""))</f>
        <v>9, Exile_Item_Pliers</v>
      </c>
    </row>
    <row r="689" ht="12.0" customHeight="1">
      <c r="A689" s="1" t="str">
        <f>IFERROR(__xludf.DUMMYFUNCTION("if(ISBLANK('RHS INPUT'!C689),,CONCATENATE(CHAR(34),To_Text('RHS INPUT'!C689),CHAR(34),CHAR(44)))"),"""Exile_Item_ZipTie"",")</f>
        <v>"Exile_Item_ZipTie",</v>
      </c>
      <c r="B689" s="18" t="str">
        <f>if(isblank('RHS INPUT'!A689),,CONCATENATE("/*  ",'RHS INPUT'!A689,"  */"))</f>
        <v/>
      </c>
      <c r="C689" s="22" t="str">
        <f>if(isblank(A689),,if('RHS INPUT'!D689=1,Concatenate("class ",'RHS INPUT'!C689),))</f>
        <v>class Exile_Item_ZipTie</v>
      </c>
      <c r="D689" s="27" t="str">
        <f>if(ISBLANK(A689),,if('RHS INPUT'!D689=1,CONCATENATE("{quality = ",'RHS INPUT'!G689,"; price = ",Round('RHS INPUT'!M689),";};"),""))</f>
        <v>{quality = 2; price = 100;};</v>
      </c>
      <c r="E689" t="str">
        <f>IFERROR(__xludf.DUMMYFUNCTION("if(ISBLANK(A689),, if('RHS INPUT'!E689=1,CONCATENATE(CHAR(34),To_Text('RHS INPUT'!C689),CHAR(34),CHAR(44)),""""))"),"""Exile_Item_ZipTie"",")</f>
        <v>"Exile_Item_ZipTie",</v>
      </c>
      <c r="F689" s="28" t="str">
        <f>IF(isblank(A689) ,Concatenate("&gt; ",'RHS INPUT'!A689) , if('RHS INPUT'!F689=1,CONCATENATE(round('RHS INPUT'!N689),Char(44)," ",'RHS INPUT'!C689),""))</f>
        <v>50, Exile_Item_ZipTie</v>
      </c>
    </row>
    <row r="690" ht="12.0" customHeight="1">
      <c r="A690" s="1" t="str">
        <f>IFERROR(__xludf.DUMMYFUNCTION("if(ISBLANK('RHS INPUT'!C690),,CONCATENATE(CHAR(34),To_Text('RHS INPUT'!C690),CHAR(34),CHAR(44)))"),"""Exile_Item_ThermalScannerPro"",")</f>
        <v>"Exile_Item_ThermalScannerPro",</v>
      </c>
      <c r="B690" s="18" t="str">
        <f>if(isblank('RHS INPUT'!A690),,CONCATENATE("/*  ",'RHS INPUT'!A690,"  */"))</f>
        <v/>
      </c>
      <c r="C690" s="22" t="str">
        <f>if(isblank(A690),,if('RHS INPUT'!D690=1,Concatenate("class ",'RHS INPUT'!C690),))</f>
        <v>class Exile_Item_ThermalScannerPro</v>
      </c>
      <c r="D690" s="27" t="str">
        <f>if(ISBLANK(A690),,if('RHS INPUT'!D690=1,CONCATENATE("{quality = ",'RHS INPUT'!G690,"; price = ",Round('RHS INPUT'!M690),";};"),""))</f>
        <v>{quality = 4; price = 10000;};</v>
      </c>
      <c r="E690" t="str">
        <f>IFERROR(__xludf.DUMMYFUNCTION("if(ISBLANK(A690),, if('RHS INPUT'!E690=1,CONCATENATE(CHAR(34),To_Text('RHS INPUT'!C690),CHAR(34),CHAR(44)),""""))"),"""Exile_Item_ThermalScannerPro"",")</f>
        <v>"Exile_Item_ThermalScannerPro",</v>
      </c>
      <c r="F690" s="28" t="str">
        <f>IF(isblank(A690) ,Concatenate("&gt; ",'RHS INPUT'!A690) , if('RHS INPUT'!F690=1,CONCATENATE(round('RHS INPUT'!N690),Char(44)," ",'RHS INPUT'!C690),""))</f>
        <v>1, Exile_Item_ThermalScannerPro</v>
      </c>
    </row>
    <row r="691" ht="12.0" customHeight="1">
      <c r="A691" s="1" t="str">
        <f>IFERROR(__xludf.DUMMYFUNCTION("if(ISBLANK('RHS INPUT'!C691),,CONCATENATE(CHAR(34),To_Text('RHS INPUT'!C691),CHAR(34),CHAR(44)))"),"")</f>
        <v/>
      </c>
      <c r="B691" s="18" t="str">
        <f>if(isblank('RHS INPUT'!A691),,CONCATENATE("/*  ",'RHS INPUT'!A691,"  */"))</f>
        <v>/*  FOOD  */</v>
      </c>
      <c r="C691" s="22" t="str">
        <f>if(isblank(A691),,if('RHS INPUT'!D691=1,Concatenate("class ",'RHS INPUT'!C691),))</f>
        <v/>
      </c>
      <c r="D691" s="27" t="str">
        <f>if(ISBLANK(A691),,if('RHS INPUT'!D691=1,CONCATENATE("{quality = ",'RHS INPUT'!G691,"; price = ",Round('RHS INPUT'!M691),";};"),""))</f>
        <v/>
      </c>
      <c r="E691" t="str">
        <f>IFERROR(__xludf.DUMMYFUNCTION("if(ISBLANK(A691),, if('RHS INPUT'!E691=1,CONCATENATE(CHAR(34),To_Text('RHS INPUT'!C691),CHAR(34),CHAR(44)),""""))"),"")</f>
        <v/>
      </c>
      <c r="F691" s="28" t="str">
        <f>IF(isblank(A691) ,Concatenate("&gt; ",'RHS INPUT'!A691) , if('RHS INPUT'!F691=1,CONCATENATE(round('RHS INPUT'!N691),Char(44)," ",'RHS INPUT'!C691),""))</f>
        <v>&gt; FOOD</v>
      </c>
    </row>
    <row r="692" ht="12.0" customHeight="1">
      <c r="A692" s="1" t="str">
        <f>IFERROR(__xludf.DUMMYFUNCTION("if(ISBLANK('RHS INPUT'!C692),,CONCATENATE(CHAR(34),To_Text('RHS INPUT'!C692),CHAR(34),CHAR(44)))"),"""Exile_Item_EMRE"",")</f>
        <v>"Exile_Item_EMRE",</v>
      </c>
      <c r="B692" s="18" t="str">
        <f>if(isblank('RHS INPUT'!A692),,CONCATENATE("/*  ",'RHS INPUT'!A692,"  */"))</f>
        <v/>
      </c>
      <c r="C692" s="22" t="str">
        <f>if(isblank(A692),,if('RHS INPUT'!D692=1,Concatenate("class ",'RHS INPUT'!C692),))</f>
        <v>class Exile_Item_EMRE</v>
      </c>
      <c r="D692" s="27" t="str">
        <f>if(ISBLANK(A692),,if('RHS INPUT'!D692=1,CONCATENATE("{quality = ",'RHS INPUT'!G692,"; price = ",Round('RHS INPUT'!M692),";};"),""))</f>
        <v>{quality = 3; price = 60;};</v>
      </c>
      <c r="E692" t="str">
        <f>IFERROR(__xludf.DUMMYFUNCTION("if(ISBLANK(A692),, if('RHS INPUT'!E692=1,CONCATENATE(CHAR(34),To_Text('RHS INPUT'!C692),CHAR(34),CHAR(44)),""""))"),"""Exile_Item_EMRE"",")</f>
        <v>"Exile_Item_EMRE",</v>
      </c>
      <c r="F692" s="28" t="str">
        <f>IF(isblank(A692) ,Concatenate("&gt; ",'RHS INPUT'!A692) , if('RHS INPUT'!F692=1,CONCATENATE(round('RHS INPUT'!N692),Char(44)," ",'RHS INPUT'!C692),""))</f>
        <v>63, Exile_Item_EMRE</v>
      </c>
    </row>
    <row r="693" ht="12.0" customHeight="1">
      <c r="A693" s="1" t="str">
        <f>IFERROR(__xludf.DUMMYFUNCTION("if(ISBLANK('RHS INPUT'!C693),,CONCATENATE(CHAR(34),To_Text('RHS INPUT'!C693),CHAR(34),CHAR(44)))"),"""Exile_Item_GloriousKnakworst"",")</f>
        <v>"Exile_Item_GloriousKnakworst",</v>
      </c>
      <c r="B693" s="18" t="str">
        <f>if(isblank('RHS INPUT'!A693),,CONCATENATE("/*  ",'RHS INPUT'!A693,"  */"))</f>
        <v/>
      </c>
      <c r="C693" s="22" t="str">
        <f>if(isblank(A693),,if('RHS INPUT'!D693=1,Concatenate("class ",'RHS INPUT'!C693),))</f>
        <v>class Exile_Item_GloriousKnakworst</v>
      </c>
      <c r="D693" s="27" t="str">
        <f>if(ISBLANK(A693),,if('RHS INPUT'!D693=1,CONCATENATE("{quality = ",'RHS INPUT'!G693,"; price = ",Round('RHS INPUT'!M693),";};"),""))</f>
        <v>{quality = 3; price = 57;};</v>
      </c>
      <c r="E693" t="str">
        <f>IFERROR(__xludf.DUMMYFUNCTION("if(ISBLANK(A693),, if('RHS INPUT'!E693=1,CONCATENATE(CHAR(34),To_Text('RHS INPUT'!C693),CHAR(34),CHAR(44)),""""))"),"""Exile_Item_GloriousKnakworst"",")</f>
        <v>"Exile_Item_GloriousKnakworst",</v>
      </c>
      <c r="F693" s="28" t="str">
        <f>IF(isblank(A693) ,Concatenate("&gt; ",'RHS INPUT'!A693) , if('RHS INPUT'!F693=1,CONCATENATE(round('RHS INPUT'!N693),Char(44)," ",'RHS INPUT'!C693),""))</f>
        <v>64, Exile_Item_GloriousKnakworst</v>
      </c>
    </row>
    <row r="694" ht="12.0" customHeight="1">
      <c r="A694" s="1" t="str">
        <f>IFERROR(__xludf.DUMMYFUNCTION("if(ISBLANK('RHS INPUT'!C694),,CONCATENATE(CHAR(34),To_Text('RHS INPUT'!C694),CHAR(34),CHAR(44)))"),"""Exile_Item_Surstromming"",")</f>
        <v>"Exile_Item_Surstromming",</v>
      </c>
      <c r="B694" s="18" t="str">
        <f>if(isblank('RHS INPUT'!A694),,CONCATENATE("/*  ",'RHS INPUT'!A694,"  */"))</f>
        <v/>
      </c>
      <c r="C694" s="22" t="str">
        <f>if(isblank(A694),,if('RHS INPUT'!D694=1,Concatenate("class ",'RHS INPUT'!C694),))</f>
        <v>class Exile_Item_Surstromming</v>
      </c>
      <c r="D694" s="27" t="str">
        <f>if(ISBLANK(A694),,if('RHS INPUT'!D694=1,CONCATENATE("{quality = ",'RHS INPUT'!G694,"; price = ",Round('RHS INPUT'!M694),";};"),""))</f>
        <v>{quality = 3; price = 54;};</v>
      </c>
      <c r="E694" t="str">
        <f>IFERROR(__xludf.DUMMYFUNCTION("if(ISBLANK(A694),, if('RHS INPUT'!E694=1,CONCATENATE(CHAR(34),To_Text('RHS INPUT'!C694),CHAR(34),CHAR(44)),""""))"),"""Exile_Item_Surstromming"",")</f>
        <v>"Exile_Item_Surstromming",</v>
      </c>
      <c r="F694" s="28" t="str">
        <f>IF(isblank(A694) ,Concatenate("&gt; ",'RHS INPUT'!A694) , if('RHS INPUT'!F694=1,CONCATENATE(round('RHS INPUT'!N694),Char(44)," ",'RHS INPUT'!C694),""))</f>
        <v>65, Exile_Item_Surstromming</v>
      </c>
    </row>
    <row r="695" ht="12.0" customHeight="1">
      <c r="A695" s="1" t="str">
        <f>IFERROR(__xludf.DUMMYFUNCTION("if(ISBLANK('RHS INPUT'!C695),,CONCATENATE(CHAR(34),To_Text('RHS INPUT'!C695),CHAR(34),CHAR(44)))"),"""Exile_Item_SausageGravy"",")</f>
        <v>"Exile_Item_SausageGravy",</v>
      </c>
      <c r="B695" s="18" t="str">
        <f>if(isblank('RHS INPUT'!A695),,CONCATENATE("/*  ",'RHS INPUT'!A695,"  */"))</f>
        <v/>
      </c>
      <c r="C695" s="22" t="str">
        <f>if(isblank(A695),,if('RHS INPUT'!D695=1,Concatenate("class ",'RHS INPUT'!C695),))</f>
        <v>class Exile_Item_SausageGravy</v>
      </c>
      <c r="D695" s="27" t="str">
        <f>if(ISBLANK(A695),,if('RHS INPUT'!D695=1,CONCATENATE("{quality = ",'RHS INPUT'!G695,"; price = ",Round('RHS INPUT'!M695),";};"),""))</f>
        <v>{quality = 2; price = 34;};</v>
      </c>
      <c r="E695" t="str">
        <f>IFERROR(__xludf.DUMMYFUNCTION("if(ISBLANK(A695),, if('RHS INPUT'!E695=1,CONCATENATE(CHAR(34),To_Text('RHS INPUT'!C695),CHAR(34),CHAR(44)),""""))"),"""Exile_Item_SausageGravy"",")</f>
        <v>"Exile_Item_SausageGravy",</v>
      </c>
      <c r="F695" s="28" t="str">
        <f>IF(isblank(A695) ,Concatenate("&gt; ",'RHS INPUT'!A695) , if('RHS INPUT'!F695=1,CONCATENATE(round('RHS INPUT'!N695),Char(44)," ",'RHS INPUT'!C695),""))</f>
        <v>75, Exile_Item_SausageGravy</v>
      </c>
    </row>
    <row r="696" ht="12.0" customHeight="1">
      <c r="A696" s="1" t="str">
        <f>IFERROR(__xludf.DUMMYFUNCTION("if(ISBLANK('RHS INPUT'!C696),,CONCATENATE(CHAR(34),To_Text('RHS INPUT'!C696),CHAR(34),CHAR(44)))"),"""Exile_Item_Catfood"",")</f>
        <v>"Exile_Item_Catfood",</v>
      </c>
      <c r="B696" s="18" t="str">
        <f>if(isblank('RHS INPUT'!A696),,CONCATENATE("/*  ",'RHS INPUT'!A696,"  */"))</f>
        <v/>
      </c>
      <c r="C696" s="22" t="str">
        <f>if(isblank(A696),,if('RHS INPUT'!D696=1,Concatenate("class ",'RHS INPUT'!C696),))</f>
        <v>class Exile_Item_Catfood</v>
      </c>
      <c r="D696" s="27" t="str">
        <f>if(ISBLANK(A696),,if('RHS INPUT'!D696=1,CONCATENATE("{quality = ",'RHS INPUT'!G696,"; price = ",Round('RHS INPUT'!M696),";};"),""))</f>
        <v>{quality = 2; price = 30;};</v>
      </c>
      <c r="E696" t="str">
        <f>IFERROR(__xludf.DUMMYFUNCTION("if(ISBLANK(A696),, if('RHS INPUT'!E696=1,CONCATENATE(CHAR(34),To_Text('RHS INPUT'!C696),CHAR(34),CHAR(44)),""""))"),"""Exile_Item_Catfood"",")</f>
        <v>"Exile_Item_Catfood",</v>
      </c>
      <c r="F696" s="28" t="str">
        <f>IF(isblank(A696) ,Concatenate("&gt; ",'RHS INPUT'!A696) , if('RHS INPUT'!F696=1,CONCATENATE(round('RHS INPUT'!N696),Char(44)," ",'RHS INPUT'!C696),""))</f>
        <v>77, Exile_Item_Catfood</v>
      </c>
    </row>
    <row r="697" ht="12.0" customHeight="1">
      <c r="A697" s="1" t="str">
        <f>IFERROR(__xludf.DUMMYFUNCTION("if(ISBLANK('RHS INPUT'!C697),,CONCATENATE(CHAR(34),To_Text('RHS INPUT'!C697),CHAR(34),CHAR(44)))"),"""Exile_Item_ChristmasTinner"",")</f>
        <v>"Exile_Item_ChristmasTinner",</v>
      </c>
      <c r="B697" s="18" t="str">
        <f>if(isblank('RHS INPUT'!A697),,CONCATENATE("/*  ",'RHS INPUT'!A697,"  */"))</f>
        <v/>
      </c>
      <c r="C697" s="22" t="str">
        <f>if(isblank(A697),,if('RHS INPUT'!D697=1,Concatenate("class ",'RHS INPUT'!C697),))</f>
        <v>class Exile_Item_ChristmasTinner</v>
      </c>
      <c r="D697" s="27" t="str">
        <f>if(ISBLANK(A697),,if('RHS INPUT'!D697=1,CONCATENATE("{quality = ",'RHS INPUT'!G697,"; price = ",Round('RHS INPUT'!M697),";};"),""))</f>
        <v>{quality = 2; price = 28;};</v>
      </c>
      <c r="E697" t="str">
        <f>IFERROR(__xludf.DUMMYFUNCTION("if(ISBLANK(A697),, if('RHS INPUT'!E697=1,CONCATENATE(CHAR(34),To_Text('RHS INPUT'!C697),CHAR(34),CHAR(44)),""""))"),"""Exile_Item_ChristmasTinner"",")</f>
        <v>"Exile_Item_ChristmasTinner",</v>
      </c>
      <c r="F697" s="28" t="str">
        <f>IF(isblank(A697) ,Concatenate("&gt; ",'RHS INPUT'!A697) , if('RHS INPUT'!F697=1,CONCATENATE(round('RHS INPUT'!N697),Char(44)," ",'RHS INPUT'!C697),""))</f>
        <v>78, Exile_Item_ChristmasTinner</v>
      </c>
    </row>
    <row r="698" ht="12.0" customHeight="1">
      <c r="A698" s="1" t="str">
        <f>IFERROR(__xludf.DUMMYFUNCTION("if(ISBLANK('RHS INPUT'!C698),,CONCATENATE(CHAR(34),To_Text('RHS INPUT'!C698),CHAR(34),CHAR(44)))"),"""Exile_Item_BBQSandwich"",")</f>
        <v>"Exile_Item_BBQSandwich",</v>
      </c>
      <c r="B698" s="18" t="str">
        <f>if(isblank('RHS INPUT'!A698),,CONCATENATE("/*  ",'RHS INPUT'!A698,"  */"))</f>
        <v/>
      </c>
      <c r="C698" s="22" t="str">
        <f>if(isblank(A698),,if('RHS INPUT'!D698=1,Concatenate("class ",'RHS INPUT'!C698),))</f>
        <v>class Exile_Item_BBQSandwich</v>
      </c>
      <c r="D698" s="27" t="str">
        <f>if(ISBLANK(A698),,if('RHS INPUT'!D698=1,CONCATENATE("{quality = ",'RHS INPUT'!G698,"; price = ",Round('RHS INPUT'!M698),";};"),""))</f>
        <v>{quality = 2; price = 26;};</v>
      </c>
      <c r="E698" t="str">
        <f>IFERROR(__xludf.DUMMYFUNCTION("if(ISBLANK(A698),, if('RHS INPUT'!E698=1,CONCATENATE(CHAR(34),To_Text('RHS INPUT'!C698),CHAR(34),CHAR(44)),""""))"),"""Exile_Item_BBQSandwich"",")</f>
        <v>"Exile_Item_BBQSandwich",</v>
      </c>
      <c r="F698" s="28" t="str">
        <f>IF(isblank(A698) ,Concatenate("&gt; ",'RHS INPUT'!A698) , if('RHS INPUT'!F698=1,CONCATENATE(round('RHS INPUT'!N698),Char(44)," ",'RHS INPUT'!C698),""))</f>
        <v>79, Exile_Item_BBQSandwich</v>
      </c>
    </row>
    <row r="699" ht="12.0" customHeight="1">
      <c r="A699" s="1" t="str">
        <f>IFERROR(__xludf.DUMMYFUNCTION("if(ISBLANK('RHS INPUT'!C699),,CONCATENATE(CHAR(34),To_Text('RHS INPUT'!C699),CHAR(34),CHAR(44)))"),"""Exile_Item_Dogfood"",")</f>
        <v>"Exile_Item_Dogfood",</v>
      </c>
      <c r="B699" s="18" t="str">
        <f>if(isblank('RHS INPUT'!A699),,CONCATENATE("/*  ",'RHS INPUT'!A699,"  */"))</f>
        <v/>
      </c>
      <c r="C699" s="22" t="str">
        <f>if(isblank(A699),,if('RHS INPUT'!D699=1,Concatenate("class ",'RHS INPUT'!C699),))</f>
        <v>class Exile_Item_Dogfood</v>
      </c>
      <c r="D699" s="27" t="str">
        <f>if(ISBLANK(A699),,if('RHS INPUT'!D699=1,CONCATENATE("{quality = ",'RHS INPUT'!G699,"; price = ",Round('RHS INPUT'!M699),";};"),""))</f>
        <v>{quality = 1; price = 17;};</v>
      </c>
      <c r="E699" t="str">
        <f>IFERROR(__xludf.DUMMYFUNCTION("if(ISBLANK(A699),, if('RHS INPUT'!E699=1,CONCATENATE(CHAR(34),To_Text('RHS INPUT'!C699),CHAR(34),CHAR(44)),""""))"),"""Exile_Item_Dogfood"",")</f>
        <v>"Exile_Item_Dogfood",</v>
      </c>
      <c r="F699" s="28" t="str">
        <f>IF(isblank(A699) ,Concatenate("&gt; ",'RHS INPUT'!A699) , if('RHS INPUT'!F699=1,CONCATENATE(round('RHS INPUT'!N699),Char(44)," ",'RHS INPUT'!C699),""))</f>
        <v>85, Exile_Item_Dogfood</v>
      </c>
    </row>
    <row r="700" ht="12.0" customHeight="1">
      <c r="A700" s="1" t="str">
        <f>IFERROR(__xludf.DUMMYFUNCTION("if(ISBLANK('RHS INPUT'!C700),,CONCATENATE(CHAR(34),To_Text('RHS INPUT'!C700),CHAR(34),CHAR(44)))"),"""Exile_Item_BeefParts"",")</f>
        <v>"Exile_Item_BeefParts",</v>
      </c>
      <c r="B700" s="18" t="str">
        <f>if(isblank('RHS INPUT'!A700),,CONCATENATE("/*  ",'RHS INPUT'!A700,"  */"))</f>
        <v/>
      </c>
      <c r="C700" s="22" t="str">
        <f>if(isblank(A700),,if('RHS INPUT'!D700=1,Concatenate("class ",'RHS INPUT'!C700),))</f>
        <v>class Exile_Item_BeefParts</v>
      </c>
      <c r="D700" s="27" t="str">
        <f>if(ISBLANK(A700),,if('RHS INPUT'!D700=1,CONCATENATE("{quality = ",'RHS INPUT'!G700,"; price = ",Round('RHS INPUT'!M700),";};"),""))</f>
        <v>{quality = 1; price = 17;};</v>
      </c>
      <c r="E700" t="str">
        <f>IFERROR(__xludf.DUMMYFUNCTION("if(ISBLANK(A700),, if('RHS INPUT'!E700=1,CONCATENATE(CHAR(34),To_Text('RHS INPUT'!C700),CHAR(34),CHAR(44)),""""))"),"""Exile_Item_BeefParts"",")</f>
        <v>"Exile_Item_BeefParts",</v>
      </c>
      <c r="F700" s="28" t="str">
        <f>IF(isblank(A700) ,Concatenate("&gt; ",'RHS INPUT'!A700) , if('RHS INPUT'!F700=1,CONCATENATE(round('RHS INPUT'!N700),Char(44)," ",'RHS INPUT'!C700),""))</f>
        <v>85, Exile_Item_BeefParts</v>
      </c>
    </row>
    <row r="701" ht="12.0" customHeight="1">
      <c r="A701" s="1" t="str">
        <f>IFERROR(__xludf.DUMMYFUNCTION("if(ISBLANK('RHS INPUT'!C701),,CONCATENATE(CHAR(34),To_Text('RHS INPUT'!C701),CHAR(34),CHAR(44)))"),"""Exile_Item_Cheathas"",")</f>
        <v>"Exile_Item_Cheathas",</v>
      </c>
      <c r="B701" s="18" t="str">
        <f>if(isblank('RHS INPUT'!A701),,CONCATENATE("/*  ",'RHS INPUT'!A701,"  */"))</f>
        <v/>
      </c>
      <c r="C701" s="22" t="str">
        <f>if(isblank(A701),,if('RHS INPUT'!D701=1,Concatenate("class ",'RHS INPUT'!C701),))</f>
        <v>class Exile_Item_Cheathas</v>
      </c>
      <c r="D701" s="27" t="str">
        <f>if(ISBLANK(A701),,if('RHS INPUT'!D701=1,CONCATENATE("{quality = ",'RHS INPUT'!G701,"; price = ",Round('RHS INPUT'!M701),";};"),""))</f>
        <v>{quality = 1; price = 17;};</v>
      </c>
      <c r="E701" t="str">
        <f>IFERROR(__xludf.DUMMYFUNCTION("if(ISBLANK(A701),, if('RHS INPUT'!E701=1,CONCATENATE(CHAR(34),To_Text('RHS INPUT'!C701),CHAR(34),CHAR(44)),""""))"),"""Exile_Item_Cheathas"",")</f>
        <v>"Exile_Item_Cheathas",</v>
      </c>
      <c r="F701" s="28" t="str">
        <f>IF(isblank(A701) ,Concatenate("&gt; ",'RHS INPUT'!A701) , if('RHS INPUT'!F701=1,CONCATENATE(round('RHS INPUT'!N701),Char(44)," ",'RHS INPUT'!C701),""))</f>
        <v>85, Exile_Item_Cheathas</v>
      </c>
    </row>
    <row r="702" ht="12.0" customHeight="1">
      <c r="A702" s="1" t="str">
        <f>IFERROR(__xludf.DUMMYFUNCTION("if(ISBLANK('RHS INPUT'!C702),,CONCATENATE(CHAR(34),To_Text('RHS INPUT'!C702),CHAR(34),CHAR(44)))"),"""Exile_Item_Noodles"",")</f>
        <v>"Exile_Item_Noodles",</v>
      </c>
      <c r="B702" s="18" t="str">
        <f>if(isblank('RHS INPUT'!A702),,CONCATENATE("/*  ",'RHS INPUT'!A702,"  */"))</f>
        <v/>
      </c>
      <c r="C702" s="22" t="str">
        <f>if(isblank(A702),,if('RHS INPUT'!D702=1,Concatenate("class ",'RHS INPUT'!C702),))</f>
        <v>class Exile_Item_Noodles</v>
      </c>
      <c r="D702" s="27" t="str">
        <f>if(ISBLANK(A702),,if('RHS INPUT'!D702=1,CONCATENATE("{quality = ",'RHS INPUT'!G702,"; price = ",Round('RHS INPUT'!M702),";};"),""))</f>
        <v>{quality = 1; price = 15;};</v>
      </c>
      <c r="E702" t="str">
        <f>IFERROR(__xludf.DUMMYFUNCTION("if(ISBLANK(A702),, if('RHS INPUT'!E702=1,CONCATENATE(CHAR(34),To_Text('RHS INPUT'!C702),CHAR(34),CHAR(44)),""""))"),"""Exile_Item_Noodles"",")</f>
        <v>"Exile_Item_Noodles",</v>
      </c>
      <c r="F702" s="28" t="str">
        <f>IF(isblank(A702) ,Concatenate("&gt; ",'RHS INPUT'!A702) , if('RHS INPUT'!F702=1,CONCATENATE(round('RHS INPUT'!N702),Char(44)," ",'RHS INPUT'!C702),""))</f>
        <v>87, Exile_Item_Noodles</v>
      </c>
    </row>
    <row r="703" ht="12.0" customHeight="1">
      <c r="A703" s="1" t="str">
        <f>IFERROR(__xludf.DUMMYFUNCTION("if(ISBLANK('RHS INPUT'!C703),,CONCATENATE(CHAR(34),To_Text('RHS INPUT'!C703),CHAR(34),CHAR(44)))"),"""Exile_Item_SeedAstics"",")</f>
        <v>"Exile_Item_SeedAstics",</v>
      </c>
      <c r="B703" s="18" t="str">
        <f>if(isblank('RHS INPUT'!A703),,CONCATENATE("/*  ",'RHS INPUT'!A703,"  */"))</f>
        <v/>
      </c>
      <c r="C703" s="22" t="str">
        <f>if(isblank(A703),,if('RHS INPUT'!D703=1,Concatenate("class ",'RHS INPUT'!C703),))</f>
        <v>class Exile_Item_SeedAstics</v>
      </c>
      <c r="D703" s="27" t="str">
        <f>if(ISBLANK(A703),,if('RHS INPUT'!D703=1,CONCATENATE("{quality = ",'RHS INPUT'!G703,"; price = ",Round('RHS INPUT'!M703),";};"),""))</f>
        <v>{quality = 1; price = 12;};</v>
      </c>
      <c r="E703" t="str">
        <f>IFERROR(__xludf.DUMMYFUNCTION("if(ISBLANK(A703),, if('RHS INPUT'!E703=1,CONCATENATE(CHAR(34),To_Text('RHS INPUT'!C703),CHAR(34),CHAR(44)),""""))"),"""Exile_Item_SeedAstics"",")</f>
        <v>"Exile_Item_SeedAstics",</v>
      </c>
      <c r="F703" s="28" t="str">
        <f>IF(isblank(A703) ,Concatenate("&gt; ",'RHS INPUT'!A703) , if('RHS INPUT'!F703=1,CONCATENATE(round('RHS INPUT'!N703),Char(44)," ",'RHS INPUT'!C703),""))</f>
        <v>89, Exile_Item_SeedAstics</v>
      </c>
    </row>
    <row r="704" ht="12.0" customHeight="1">
      <c r="A704" s="1" t="str">
        <f>IFERROR(__xludf.DUMMYFUNCTION("if(ISBLANK('RHS INPUT'!C704),,CONCATENATE(CHAR(34),To_Text('RHS INPUT'!C704),CHAR(34),CHAR(44)))"),"""Exile_Item_Raisins"",")</f>
        <v>"Exile_Item_Raisins",</v>
      </c>
      <c r="B704" s="18" t="str">
        <f>if(isblank('RHS INPUT'!A704),,CONCATENATE("/*  ",'RHS INPUT'!A704,"  */"))</f>
        <v/>
      </c>
      <c r="C704" s="22" t="str">
        <f>if(isblank(A704),,if('RHS INPUT'!D704=1,Concatenate("class ",'RHS INPUT'!C704),))</f>
        <v>class Exile_Item_Raisins</v>
      </c>
      <c r="D704" s="27" t="str">
        <f>if(ISBLANK(A704),,if('RHS INPUT'!D704=1,CONCATENATE("{quality = ",'RHS INPUT'!G704,"; price = ",Round('RHS INPUT'!M704),";};"),""))</f>
        <v>{quality = 1; price = 10;};</v>
      </c>
      <c r="E704" t="str">
        <f>IFERROR(__xludf.DUMMYFUNCTION("if(ISBLANK(A704),, if('RHS INPUT'!E704=1,CONCATENATE(CHAR(34),To_Text('RHS INPUT'!C704),CHAR(34),CHAR(44)),""""))"),"""Exile_Item_Raisins"",")</f>
        <v>"Exile_Item_Raisins",</v>
      </c>
      <c r="F704" s="28" t="str">
        <f>IF(isblank(A704) ,Concatenate("&gt; ",'RHS INPUT'!A704) , if('RHS INPUT'!F704=1,CONCATENATE(round('RHS INPUT'!N704),Char(44)," ",'RHS INPUT'!C704),""))</f>
        <v>91, Exile_Item_Raisins</v>
      </c>
    </row>
    <row r="705" ht="12.0" customHeight="1">
      <c r="A705" s="1" t="str">
        <f>IFERROR(__xludf.DUMMYFUNCTION("if(ISBLANK('RHS INPUT'!C705),,CONCATENATE(CHAR(34),To_Text('RHS INPUT'!C705),CHAR(34),CHAR(44)))"),"""Exile_Item_Moobar"",")</f>
        <v>"Exile_Item_Moobar",</v>
      </c>
      <c r="B705" s="18" t="str">
        <f>if(isblank('RHS INPUT'!A705),,CONCATENATE("/*  ",'RHS INPUT'!A705,"  */"))</f>
        <v/>
      </c>
      <c r="C705" s="22" t="str">
        <f>if(isblank(A705),,if('RHS INPUT'!D705=1,Concatenate("class ",'RHS INPUT'!C705),))</f>
        <v>class Exile_Item_Moobar</v>
      </c>
      <c r="D705" s="27" t="str">
        <f>if(ISBLANK(A705),,if('RHS INPUT'!D705=1,CONCATENATE("{quality = ",'RHS INPUT'!G705,"; price = ",Round('RHS INPUT'!M705),";};"),""))</f>
        <v>{quality = 1; price = 7;};</v>
      </c>
      <c r="E705" t="str">
        <f>IFERROR(__xludf.DUMMYFUNCTION("if(ISBLANK(A705),, if('RHS INPUT'!E705=1,CONCATENATE(CHAR(34),To_Text('RHS INPUT'!C705),CHAR(34),CHAR(44)),""""))"),"""Exile_Item_Moobar"",")</f>
        <v>"Exile_Item_Moobar",</v>
      </c>
      <c r="F705" s="28" t="str">
        <f>IF(isblank(A705) ,Concatenate("&gt; ",'RHS INPUT'!A705) , if('RHS INPUT'!F705=1,CONCATENATE(round('RHS INPUT'!N705),Char(44)," ",'RHS INPUT'!C705),""))</f>
        <v>93, Exile_Item_Moobar</v>
      </c>
    </row>
    <row r="706" ht="12.0" customHeight="1">
      <c r="A706" s="1" t="str">
        <f>IFERROR(__xludf.DUMMYFUNCTION("if(ISBLANK('RHS INPUT'!C706),,CONCATENATE(CHAR(34),To_Text('RHS INPUT'!C706),CHAR(34),CHAR(44)))"),"""Exile_Item_InstantCoffee"",")</f>
        <v>"Exile_Item_InstantCoffee",</v>
      </c>
      <c r="B706" s="18" t="str">
        <f>if(isblank('RHS INPUT'!A706),,CONCATENATE("/*  ",'RHS INPUT'!A706,"  */"))</f>
        <v/>
      </c>
      <c r="C706" s="22" t="str">
        <f>if(isblank(A706),,if('RHS INPUT'!D706=1,Concatenate("class ",'RHS INPUT'!C706),))</f>
        <v>class Exile_Item_InstantCoffee</v>
      </c>
      <c r="D706" s="27" t="str">
        <f>if(ISBLANK(A706),,if('RHS INPUT'!D706=1,CONCATENATE("{quality = ",'RHS INPUT'!G706,"; price = ",Round('RHS INPUT'!M706),";};"),""))</f>
        <v>{quality = 1; price = 5;};</v>
      </c>
      <c r="E706" t="str">
        <f>IFERROR(__xludf.DUMMYFUNCTION("if(ISBLANK(A706),, if('RHS INPUT'!E706=1,CONCATENATE(CHAR(34),To_Text('RHS INPUT'!C706),CHAR(34),CHAR(44)),""""))"),"""Exile_Item_InstantCoffee"",")</f>
        <v>"Exile_Item_InstantCoffee",</v>
      </c>
      <c r="F706" s="28" t="str">
        <f>IF(isblank(A706) ,Concatenate("&gt; ",'RHS INPUT'!A706) , if('RHS INPUT'!F706=1,CONCATENATE(round('RHS INPUT'!N706),Char(44)," ",'RHS INPUT'!C706),""))</f>
        <v>95, Exile_Item_InstantCoffee</v>
      </c>
    </row>
    <row r="707" ht="12.0" customHeight="1">
      <c r="A707" s="1" t="str">
        <f>IFERROR(__xludf.DUMMYFUNCTION("if(ISBLANK('RHS INPUT'!C707),,CONCATENATE(CHAR(34),To_Text('RHS INPUT'!C707),CHAR(34),CHAR(44)))"),"""Exile_Item_Can_Empty"",")</f>
        <v>"Exile_Item_Can_Empty",</v>
      </c>
      <c r="B707" s="18" t="str">
        <f>if(isblank('RHS INPUT'!A707),,CONCATENATE("/*  ",'RHS INPUT'!A707,"  */"))</f>
        <v/>
      </c>
      <c r="C707" s="22" t="str">
        <f>if(isblank(A707),,if('RHS INPUT'!D707=1,Concatenate("class ",'RHS INPUT'!C707),))</f>
        <v>class Exile_Item_Can_Empty</v>
      </c>
      <c r="D707" s="27" t="str">
        <f>if(ISBLANK(A707),,if('RHS INPUT'!D707=1,CONCATENATE("{quality = ",'RHS INPUT'!G707,"; price = ",Round('RHS INPUT'!M707),";};"),""))</f>
        <v>{quality = 1; price = 2;};</v>
      </c>
      <c r="E707" t="str">
        <f>IFERROR(__xludf.DUMMYFUNCTION("if(ISBLANK(A707),, if('RHS INPUT'!E707=1,CONCATENATE(CHAR(34),To_Text('RHS INPUT'!C707),CHAR(34),CHAR(44)),""""))"),"")</f>
        <v/>
      </c>
      <c r="F707" s="28" t="str">
        <f>IF(isblank(A707) ,Concatenate("&gt; ",'RHS INPUT'!A707) , if('RHS INPUT'!F707=1,CONCATENATE(round('RHS INPUT'!N707),Char(44)," ",'RHS INPUT'!C707),""))</f>
        <v>98, Exile_Item_Can_Empty</v>
      </c>
    </row>
    <row r="708" ht="12.0" customHeight="1">
      <c r="A708" s="1" t="str">
        <f>IFERROR(__xludf.DUMMYFUNCTION("if(ISBLANK('RHS INPUT'!C708),,CONCATENATE(CHAR(34),To_Text('RHS INPUT'!C708),CHAR(34),CHAR(44)))"),"")</f>
        <v/>
      </c>
      <c r="B708" s="18" t="str">
        <f>if(isblank('RHS INPUT'!A708),,CONCATENATE("/*  ",'RHS INPUT'!A708,"  */"))</f>
        <v>/*  DRINKS  */</v>
      </c>
      <c r="C708" s="22" t="str">
        <f>if(isblank(A708),,if('RHS INPUT'!D708=1,Concatenate("class ",'RHS INPUT'!C708),))</f>
        <v/>
      </c>
      <c r="D708" s="27" t="str">
        <f>if(ISBLANK(A708),,if('RHS INPUT'!D708=1,CONCATENATE("{quality = ",'RHS INPUT'!G708,"; price = ",Round('RHS INPUT'!M708),";};"),""))</f>
        <v/>
      </c>
      <c r="E708" t="str">
        <f>IFERROR(__xludf.DUMMYFUNCTION("if(ISBLANK(A708),, if('RHS INPUT'!E708=1,CONCATENATE(CHAR(34),To_Text('RHS INPUT'!C708),CHAR(34),CHAR(44)),""""))"),"")</f>
        <v/>
      </c>
      <c r="F708" s="28" t="str">
        <f>IF(isblank(A708) ,Concatenate("&gt; ",'RHS INPUT'!A708) , if('RHS INPUT'!F708=1,CONCATENATE(round('RHS INPUT'!N708),Char(44)," ",'RHS INPUT'!C708),""))</f>
        <v>&gt; DRINKS</v>
      </c>
    </row>
    <row r="709" ht="12.0" customHeight="1">
      <c r="A709" s="1" t="str">
        <f>IFERROR(__xludf.DUMMYFUNCTION("if(ISBLANK('RHS INPUT'!C709),,CONCATENATE(CHAR(34),To_Text('RHS INPUT'!C709),CHAR(34),CHAR(44)))"),"""Exile_Item_PlasticBottleCoffee"",")</f>
        <v>"Exile_Item_PlasticBottleCoffee",</v>
      </c>
      <c r="B709" s="18" t="str">
        <f>if(isblank('RHS INPUT'!A709),,CONCATENATE("/*  ",'RHS INPUT'!A709,"  */"))</f>
        <v/>
      </c>
      <c r="C709" s="22" t="str">
        <f>if(isblank(A709),,if('RHS INPUT'!D709=1,Concatenate("class ",'RHS INPUT'!C709),))</f>
        <v>class Exile_Item_PlasticBottleCoffee</v>
      </c>
      <c r="D709" s="27" t="str">
        <f>if(ISBLANK(A709),,if('RHS INPUT'!D709=1,CONCATENATE("{quality = ",'RHS INPUT'!G709,"; price = ",Round('RHS INPUT'!M709),";};"),""))</f>
        <v>{quality = 3; price = 54;};</v>
      </c>
      <c r="E709" t="str">
        <f>IFERROR(__xludf.DUMMYFUNCTION("if(ISBLANK(A709),, if('RHS INPUT'!E709=1,CONCATENATE(CHAR(34),To_Text('RHS INPUT'!C709),CHAR(34),CHAR(44)),""""))"),"""Exile_Item_PlasticBottleCoffee"",")</f>
        <v>"Exile_Item_PlasticBottleCoffee",</v>
      </c>
      <c r="F709" s="28" t="str">
        <f>IF(isblank(A709) ,Concatenate("&gt; ",'RHS INPUT'!A709) , if('RHS INPUT'!F709=1,CONCATENATE(round('RHS INPUT'!N709),Char(44)," ",'RHS INPUT'!C709),""))</f>
        <v>65, Exile_Item_PlasticBottleCoffee</v>
      </c>
    </row>
    <row r="710" ht="12.0" customHeight="1">
      <c r="A710" s="1" t="str">
        <f>IFERROR(__xludf.DUMMYFUNCTION("if(ISBLANK('RHS INPUT'!C710),,CONCATENATE(CHAR(34),To_Text('RHS INPUT'!C710),CHAR(34),CHAR(44)))"),"""Exile_Item_PowerDrink"",")</f>
        <v>"Exile_Item_PowerDrink",</v>
      </c>
      <c r="B710" s="18" t="str">
        <f>if(isblank('RHS INPUT'!A710),,CONCATENATE("/*  ",'RHS INPUT'!A710,"  */"))</f>
        <v/>
      </c>
      <c r="C710" s="22" t="str">
        <f>if(isblank(A710),,if('RHS INPUT'!D710=1,Concatenate("class ",'RHS INPUT'!C710),))</f>
        <v>class Exile_Item_PowerDrink</v>
      </c>
      <c r="D710" s="27" t="str">
        <f>if(ISBLANK(A710),,if('RHS INPUT'!D710=1,CONCATENATE("{quality = ",'RHS INPUT'!G710,"; price = ",Round('RHS INPUT'!M710),";};"),""))</f>
        <v>{quality = 3; price = 48;};</v>
      </c>
      <c r="E710" t="str">
        <f>IFERROR(__xludf.DUMMYFUNCTION("if(ISBLANK(A710),, if('RHS INPUT'!E710=1,CONCATENATE(CHAR(34),To_Text('RHS INPUT'!C710),CHAR(34),CHAR(44)),""""))"),"""Exile_Item_PowerDrink"",")</f>
        <v>"Exile_Item_PowerDrink",</v>
      </c>
      <c r="F710" s="28" t="str">
        <f>IF(isblank(A710) ,Concatenate("&gt; ",'RHS INPUT'!A710) , if('RHS INPUT'!F710=1,CONCATENATE(round('RHS INPUT'!N710),Char(44)," ",'RHS INPUT'!C710),""))</f>
        <v>68, Exile_Item_PowerDrink</v>
      </c>
    </row>
    <row r="711" ht="12.0" customHeight="1">
      <c r="A711" s="1" t="str">
        <f>IFERROR(__xludf.DUMMYFUNCTION("if(ISBLANK('RHS INPUT'!C711),,CONCATENATE(CHAR(34),To_Text('RHS INPUT'!C711),CHAR(34),CHAR(44)))"),"""Exile_Item_PlasticBottleFreshWater"",")</f>
        <v>"Exile_Item_PlasticBottleFreshWater",</v>
      </c>
      <c r="B711" s="18" t="str">
        <f>if(isblank('RHS INPUT'!A711),,CONCATENATE("/*  ",'RHS INPUT'!A711,"  */"))</f>
        <v/>
      </c>
      <c r="C711" s="22" t="str">
        <f>if(isblank(A711),,if('RHS INPUT'!D711=1,Concatenate("class ",'RHS INPUT'!C711),))</f>
        <v>class Exile_Item_PlasticBottleFreshWater</v>
      </c>
      <c r="D711" s="27" t="str">
        <f>if(ISBLANK(A711),,if('RHS INPUT'!D711=1,CONCATENATE("{quality = ",'RHS INPUT'!G711,"; price = ",Round('RHS INPUT'!M711),";};"),""))</f>
        <v>{quality = 3; price = 45;};</v>
      </c>
      <c r="E711" t="str">
        <f>IFERROR(__xludf.DUMMYFUNCTION("if(ISBLANK(A711),, if('RHS INPUT'!E711=1,CONCATENATE(CHAR(34),To_Text('RHS INPUT'!C711),CHAR(34),CHAR(44)),""""))"),"""Exile_Item_PlasticBottleFreshWater"",")</f>
        <v>"Exile_Item_PlasticBottleFreshWater",</v>
      </c>
      <c r="F711" s="28" t="str">
        <f>IF(isblank(A711) ,Concatenate("&gt; ",'RHS INPUT'!A711) , if('RHS INPUT'!F711=1,CONCATENATE(round('RHS INPUT'!N711),Char(44)," ",'RHS INPUT'!C711),""))</f>
        <v>69, Exile_Item_PlasticBottleFreshWater</v>
      </c>
    </row>
    <row r="712" ht="12.0" customHeight="1">
      <c r="A712" s="1" t="str">
        <f>IFERROR(__xludf.DUMMYFUNCTION("if(ISBLANK('RHS INPUT'!C712),,CONCATENATE(CHAR(34),To_Text('RHS INPUT'!C712),CHAR(34),CHAR(44)))"),"""Exile_Item_Beer"",")</f>
        <v>"Exile_Item_Beer",</v>
      </c>
      <c r="B712" s="18" t="str">
        <f>if(isblank('RHS INPUT'!A712),,CONCATENATE("/*  ",'RHS INPUT'!A712,"  */"))</f>
        <v/>
      </c>
      <c r="C712" s="22" t="str">
        <f>if(isblank(A712),,if('RHS INPUT'!D712=1,Concatenate("class ",'RHS INPUT'!C712),))</f>
        <v>class Exile_Item_Beer</v>
      </c>
      <c r="D712" s="27" t="str">
        <f>if(ISBLANK(A712),,if('RHS INPUT'!D712=1,CONCATENATE("{quality = ",'RHS INPUT'!G712,"; price = ",Round('RHS INPUT'!M712),";};"),""))</f>
        <v>{quality = 2; price = 38;};</v>
      </c>
      <c r="E712" t="str">
        <f>IFERROR(__xludf.DUMMYFUNCTION("if(ISBLANK(A712),, if('RHS INPUT'!E712=1,CONCATENATE(CHAR(34),To_Text('RHS INPUT'!C712),CHAR(34),CHAR(44)),""""))"),"""Exile_Item_Beer"",")</f>
        <v>"Exile_Item_Beer",</v>
      </c>
      <c r="F712" s="28" t="str">
        <f>IF(isblank(A712) ,Concatenate("&gt; ",'RHS INPUT'!A712) , if('RHS INPUT'!F712=1,CONCATENATE(round('RHS INPUT'!N712),Char(44)," ",'RHS INPUT'!C712),""))</f>
        <v>72, Exile_Item_Beer</v>
      </c>
    </row>
    <row r="713" ht="12.0" customHeight="1">
      <c r="A713" s="1" t="str">
        <f>IFERROR(__xludf.DUMMYFUNCTION("if(ISBLANK('RHS INPUT'!C713),,CONCATENATE(CHAR(34),To_Text('RHS INPUT'!C713),CHAR(34),CHAR(44)))"),"""Exile_Item_EnergyDrink"",")</f>
        <v>"Exile_Item_EnergyDrink",</v>
      </c>
      <c r="B713" s="18" t="str">
        <f>if(isblank('RHS INPUT'!A713),,CONCATENATE("/*  ",'RHS INPUT'!A713,"  */"))</f>
        <v/>
      </c>
      <c r="C713" s="22" t="str">
        <f>if(isblank(A713),,if('RHS INPUT'!D713=1,Concatenate("class ",'RHS INPUT'!C713),))</f>
        <v>class Exile_Item_EnergyDrink</v>
      </c>
      <c r="D713" s="27" t="str">
        <f>if(ISBLANK(A713),,if('RHS INPUT'!D713=1,CONCATENATE("{quality = ",'RHS INPUT'!G713,"; price = ",Round('RHS INPUT'!M713),";};"),""))</f>
        <v>{quality = 2; price = 36;};</v>
      </c>
      <c r="E713" t="str">
        <f>IFERROR(__xludf.DUMMYFUNCTION("if(ISBLANK(A713),, if('RHS INPUT'!E713=1,CONCATENATE(CHAR(34),To_Text('RHS INPUT'!C713),CHAR(34),CHAR(44)),""""))"),"""Exile_Item_EnergyDrink"",")</f>
        <v>"Exile_Item_EnergyDrink",</v>
      </c>
      <c r="F713" s="28" t="str">
        <f>IF(isblank(A713) ,Concatenate("&gt; ",'RHS INPUT'!A713) , if('RHS INPUT'!F713=1,CONCATENATE(round('RHS INPUT'!N713),Char(44)," ",'RHS INPUT'!C713),""))</f>
        <v>74, Exile_Item_EnergyDrink</v>
      </c>
    </row>
    <row r="714" ht="12.0" customHeight="1">
      <c r="A714" s="1" t="str">
        <f>IFERROR(__xludf.DUMMYFUNCTION("if(ISBLANK('RHS INPUT'!C714),,CONCATENATE(CHAR(34),To_Text('RHS INPUT'!C714),CHAR(34),CHAR(44)))"),"""Exile_Item_MountainDupe"",")</f>
        <v>"Exile_Item_MountainDupe",</v>
      </c>
      <c r="B714" s="18" t="str">
        <f>if(isblank('RHS INPUT'!A714),,CONCATENATE("/*  ",'RHS INPUT'!A714,"  */"))</f>
        <v/>
      </c>
      <c r="C714" s="22" t="str">
        <f>if(isblank(A714),,if('RHS INPUT'!D714=1,Concatenate("class ",'RHS INPUT'!C714),))</f>
        <v>class Exile_Item_MountainDupe</v>
      </c>
      <c r="D714" s="27" t="str">
        <f>if(ISBLANK(A714),,if('RHS INPUT'!D714=1,CONCATENATE("{quality = ",'RHS INPUT'!G714,"; price = ",Round('RHS INPUT'!M714),";};"),""))</f>
        <v>{quality = 1; price = 25;};</v>
      </c>
      <c r="E714" t="str">
        <f>IFERROR(__xludf.DUMMYFUNCTION("if(ISBLANK(A714),, if('RHS INPUT'!E714=1,CONCATENATE(CHAR(34),To_Text('RHS INPUT'!C714),CHAR(34),CHAR(44)),""""))"),"""Exile_Item_MountainDupe"",")</f>
        <v>"Exile_Item_MountainDupe",</v>
      </c>
      <c r="F714" s="28" t="str">
        <f>IF(isblank(A714) ,Concatenate("&gt; ",'RHS INPUT'!A714) , if('RHS INPUT'!F714=1,CONCATENATE(round('RHS INPUT'!N714),Char(44)," ",'RHS INPUT'!C714),""))</f>
        <v>80, Exile_Item_MountainDupe</v>
      </c>
    </row>
    <row r="715" ht="12.0" customHeight="1">
      <c r="A715" s="1" t="str">
        <f>IFERROR(__xludf.DUMMYFUNCTION("if(ISBLANK('RHS INPUT'!C715),,CONCATENATE(CHAR(34),To_Text('RHS INPUT'!C715),CHAR(34),CHAR(44)))"),"""Exile_Item_PlasticBottleEmpty"",")</f>
        <v>"Exile_Item_PlasticBottleEmpty",</v>
      </c>
      <c r="B715" s="18" t="str">
        <f>if(isblank('RHS INPUT'!A715),,CONCATENATE("/*  ",'RHS INPUT'!A715,"  */"))</f>
        <v/>
      </c>
      <c r="C715" s="22" t="str">
        <f>if(isblank(A715),,if('RHS INPUT'!D715=1,Concatenate("class ",'RHS INPUT'!C715),))</f>
        <v>class Exile_Item_PlasticBottleEmpty</v>
      </c>
      <c r="D715" s="27" t="str">
        <f>if(ISBLANK(A715),,if('RHS INPUT'!D715=1,CONCATENATE("{quality = ",'RHS INPUT'!G715,"; price = ",Round('RHS INPUT'!M715),";};"),""))</f>
        <v>{quality = 1; price = 5;};</v>
      </c>
      <c r="E715" t="str">
        <f>IFERROR(__xludf.DUMMYFUNCTION("if(ISBLANK(A715),, if('RHS INPUT'!E715=1,CONCATENATE(CHAR(34),To_Text('RHS INPUT'!C715),CHAR(34),CHAR(44)),""""))"),"""Exile_Item_PlasticBottleEmpty"",")</f>
        <v>"Exile_Item_PlasticBottleEmpty",</v>
      </c>
      <c r="F715" s="28" t="str">
        <f>IF(isblank(A715) ,Concatenate("&gt; ",'RHS INPUT'!A715) , if('RHS INPUT'!F715=1,CONCATENATE(round('RHS INPUT'!N715),Char(44)," ",'RHS INPUT'!C715),""))</f>
        <v>95, Exile_Item_PlasticBottleEmpty</v>
      </c>
    </row>
    <row r="716" ht="12.0" customHeight="1">
      <c r="A716" s="1" t="str">
        <f>IFERROR(__xludf.DUMMYFUNCTION("if(ISBLANK('RHS INPUT'!C716),,CONCATENATE(CHAR(34),To_Text('RHS INPUT'!C716),CHAR(34),CHAR(44)))"),"")</f>
        <v/>
      </c>
      <c r="B716" s="18" t="str">
        <f>if(isblank('RHS INPUT'!A716),,CONCATENATE("/*  ",'RHS INPUT'!A716,"  */"))</f>
        <v>/*  FIRST_AID  */</v>
      </c>
      <c r="C716" s="22" t="str">
        <f>if(isblank(A716),,if('RHS INPUT'!D716=1,Concatenate("class ",'RHS INPUT'!C716),))</f>
        <v/>
      </c>
      <c r="D716" s="27" t="str">
        <f>if(ISBLANK(A716),,if('RHS INPUT'!D716=1,CONCATENATE("{quality = ",'RHS INPUT'!G716,"; price = ",Round('RHS INPUT'!M716),";};"),""))</f>
        <v/>
      </c>
      <c r="E716" t="str">
        <f>IFERROR(__xludf.DUMMYFUNCTION("if(ISBLANK(A716),, if('RHS INPUT'!E716=1,CONCATENATE(CHAR(34),To_Text('RHS INPUT'!C716),CHAR(34),CHAR(44)),""""))"),"")</f>
        <v/>
      </c>
      <c r="F716" s="28" t="str">
        <f>IF(isblank(A716) ,Concatenate("&gt; ",'RHS INPUT'!A716) , if('RHS INPUT'!F716=1,CONCATENATE(round('RHS INPUT'!N716),Char(44)," ",'RHS INPUT'!C716),""))</f>
        <v>&gt; FIRST_AID</v>
      </c>
    </row>
    <row r="717" ht="12.0" customHeight="1">
      <c r="A717" s="1" t="str">
        <f>IFERROR(__xludf.DUMMYFUNCTION("if(ISBLANK('RHS INPUT'!C717),,CONCATENATE(CHAR(34),To_Text('RHS INPUT'!C717),CHAR(34),CHAR(44)))"),"""Exile_Item_InstaDoc"",")</f>
        <v>"Exile_Item_InstaDoc",</v>
      </c>
      <c r="B717" s="18" t="str">
        <f>if(isblank('RHS INPUT'!A717),,CONCATENATE("/*  ",'RHS INPUT'!A717,"  */"))</f>
        <v/>
      </c>
      <c r="C717" s="22" t="str">
        <f>if(isblank(A717),,if('RHS INPUT'!D717=1,Concatenate("class ",'RHS INPUT'!C717),))</f>
        <v>class Exile_Item_InstaDoc</v>
      </c>
      <c r="D717" s="27" t="str">
        <f>if(ISBLANK(A717),,if('RHS INPUT'!D717=1,CONCATENATE("{quality = ",'RHS INPUT'!G717,"; price = ",Round('RHS INPUT'!M717),";};"),""))</f>
        <v>{quality = 3; price = 300;};</v>
      </c>
      <c r="E717" t="str">
        <f>IFERROR(__xludf.DUMMYFUNCTION("if(ISBLANK(A717),, if('RHS INPUT'!E717=1,CONCATENATE(CHAR(34),To_Text('RHS INPUT'!C717),CHAR(34),CHAR(44)),""""))"),"""Exile_Item_InstaDoc"",")</f>
        <v>"Exile_Item_InstaDoc",</v>
      </c>
      <c r="F717" s="28" t="str">
        <f>IF(isblank(A717) ,Concatenate("&gt; ",'RHS INPUT'!A717) , if('RHS INPUT'!F717=1,CONCATENATE(round('RHS INPUT'!N717),Char(44)," ",'RHS INPUT'!C717),""))</f>
        <v>25, Exile_Item_InstaDoc</v>
      </c>
    </row>
    <row r="718" ht="12.0" customHeight="1">
      <c r="A718" s="1" t="str">
        <f>IFERROR(__xludf.DUMMYFUNCTION("if(ISBLANK('RHS INPUT'!C718),,CONCATENATE(CHAR(34),To_Text('RHS INPUT'!C718),CHAR(34),CHAR(44)))"),"""Exile_Item_Vishpirin"",")</f>
        <v>"Exile_Item_Vishpirin",</v>
      </c>
      <c r="B718" s="18" t="str">
        <f>if(isblank('RHS INPUT'!A718),,CONCATENATE("/*  ",'RHS INPUT'!A718,"  */"))</f>
        <v/>
      </c>
      <c r="C718" s="22" t="str">
        <f>if(isblank(A718),,if('RHS INPUT'!D718=1,Concatenate("class ",'RHS INPUT'!C718),))</f>
        <v>class Exile_Item_Vishpirin</v>
      </c>
      <c r="D718" s="27" t="str">
        <f>if(ISBLANK(A718),,if('RHS INPUT'!D718=1,CONCATENATE("{quality = ",'RHS INPUT'!G718,"; price = ",Round('RHS INPUT'!M718),";};"),""))</f>
        <v>{quality = 2; price = 200;};</v>
      </c>
      <c r="E718" t="str">
        <f>IFERROR(__xludf.DUMMYFUNCTION("if(ISBLANK(A718),, if('RHS INPUT'!E718=1,CONCATENATE(CHAR(34),To_Text('RHS INPUT'!C718),CHAR(34),CHAR(44)),""""))"),"""Exile_Item_Vishpirin"",")</f>
        <v>"Exile_Item_Vishpirin",</v>
      </c>
      <c r="F718" s="28" t="str">
        <f>IF(isblank(A718) ,Concatenate("&gt; ",'RHS INPUT'!A718) , if('RHS INPUT'!F718=1,CONCATENATE(round('RHS INPUT'!N718),Char(44)," ",'RHS INPUT'!C718),""))</f>
        <v>33, Exile_Item_Vishpirin</v>
      </c>
    </row>
    <row r="719" ht="12.0" customHeight="1">
      <c r="A719" s="1" t="str">
        <f>IFERROR(__xludf.DUMMYFUNCTION("if(ISBLANK('RHS INPUT'!C719),,CONCATENATE(CHAR(34),To_Text('RHS INPUT'!C719),CHAR(34),CHAR(44)))"),"""Exile_Item_Bandage"",")</f>
        <v>"Exile_Item_Bandage",</v>
      </c>
      <c r="B719" s="18" t="str">
        <f>if(isblank('RHS INPUT'!A719),,CONCATENATE("/*  ",'RHS INPUT'!A719,"  */"))</f>
        <v/>
      </c>
      <c r="C719" s="22" t="str">
        <f>if(isblank(A719),,if('RHS INPUT'!D719=1,Concatenate("class ",'RHS INPUT'!C719),))</f>
        <v>class Exile_Item_Bandage</v>
      </c>
      <c r="D719" s="27" t="str">
        <f>if(ISBLANK(A719),,if('RHS INPUT'!D719=1,CONCATENATE("{quality = ",'RHS INPUT'!G719,"; price = ",Round('RHS INPUT'!M719),";};"),""))</f>
        <v>{quality = 1; price = 100;};</v>
      </c>
      <c r="E719" t="str">
        <f>IFERROR(__xludf.DUMMYFUNCTION("if(ISBLANK(A719),, if('RHS INPUT'!E719=1,CONCATENATE(CHAR(34),To_Text('RHS INPUT'!C719),CHAR(34),CHAR(44)),""""))"),"""Exile_Item_Bandage"",")</f>
        <v>"Exile_Item_Bandage",</v>
      </c>
      <c r="F719" s="28" t="str">
        <f>IF(isblank(A719) ,Concatenate("&gt; ",'RHS INPUT'!A719) , if('RHS INPUT'!F719=1,CONCATENATE(round('RHS INPUT'!N719),Char(44)," ",'RHS INPUT'!C719),""))</f>
        <v>50, Exile_Item_Bandage</v>
      </c>
    </row>
    <row r="720" ht="12.0" customHeight="1">
      <c r="A720" s="1" t="str">
        <f>IFERROR(__xludf.DUMMYFUNCTION("if(ISBLANK('RHS INPUT'!C720),,CONCATENATE(CHAR(34),To_Text('RHS INPUT'!C720),CHAR(34),CHAR(44)))"),"""Medikit"",")</f>
        <v>"Medikit",</v>
      </c>
      <c r="B720" s="18" t="str">
        <f>if(isblank('RHS INPUT'!A720),,CONCATENATE("/*  ",'RHS INPUT'!A720,"  */"))</f>
        <v/>
      </c>
      <c r="C720" s="22" t="str">
        <f>if(isblank(A720),,if('RHS INPUT'!D720=1,Concatenate("class ",'RHS INPUT'!C720),))</f>
        <v/>
      </c>
      <c r="D720" s="27" t="str">
        <f>if(ISBLANK(A720),,if('RHS INPUT'!D720=1,CONCATENATE("{quality = ",'RHS INPUT'!G720,"; price = ",Round('RHS INPUT'!M720),";};"),""))</f>
        <v/>
      </c>
      <c r="E720" t="str">
        <f>IFERROR(__xludf.DUMMYFUNCTION("if(ISBLANK(A720),, if('RHS INPUT'!E720=1,CONCATENATE(CHAR(34),To_Text('RHS INPUT'!C720),CHAR(34),CHAR(44)),""""))"),"")</f>
        <v/>
      </c>
      <c r="F720" s="28" t="str">
        <f>IF(isblank(A720) ,Concatenate("&gt; ",'RHS INPUT'!A720) , if('RHS INPUT'!F720=1,CONCATENATE(round('RHS INPUT'!N720),Char(44)," ",'RHS INPUT'!C720),""))</f>
        <v/>
      </c>
    </row>
    <row r="721" ht="12.0" customHeight="1">
      <c r="A721" s="1" t="str">
        <f>IFERROR(__xludf.DUMMYFUNCTION("if(ISBLANK('RHS INPUT'!C721),,CONCATENATE(CHAR(34),To_Text('RHS INPUT'!C721),CHAR(34),CHAR(44)))"),"")</f>
        <v/>
      </c>
      <c r="B721" s="18" t="str">
        <f>if(isblank('RHS INPUT'!A721),,CONCATENATE("/*  ",'RHS INPUT'!A721,"  */"))</f>
        <v>/*  NAVIGATION  */</v>
      </c>
      <c r="C721" s="22" t="str">
        <f>if(isblank(A721),,if('RHS INPUT'!D721=1,Concatenate("class ",'RHS INPUT'!C721),))</f>
        <v/>
      </c>
      <c r="D721" s="27" t="str">
        <f>if(ISBLANK(A721),,if('RHS INPUT'!D721=1,CONCATENATE("{quality = ",'RHS INPUT'!G721,"; price = ",Round('RHS INPUT'!M721),";};"),""))</f>
        <v/>
      </c>
      <c r="E721" t="str">
        <f>IFERROR(__xludf.DUMMYFUNCTION("if(ISBLANK(A721),, if('RHS INPUT'!E721=1,CONCATENATE(CHAR(34),To_Text('RHS INPUT'!C721),CHAR(34),CHAR(44)),""""))"),"")</f>
        <v/>
      </c>
      <c r="F721" s="28" t="str">
        <f>IF(isblank(A721) ,Concatenate("&gt; ",'RHS INPUT'!A721) , if('RHS INPUT'!F721=1,CONCATENATE(round('RHS INPUT'!N721),Char(44)," ",'RHS INPUT'!C721),""))</f>
        <v>&gt; NAVIGATION</v>
      </c>
    </row>
    <row r="722" ht="12.0" customHeight="1">
      <c r="A722" s="1" t="str">
        <f>IFERROR(__xludf.DUMMYFUNCTION("if(ISBLANK('RHS INPUT'!C722),,CONCATENATE(CHAR(34),To_Text('RHS INPUT'!C722),CHAR(34),CHAR(44)))"),"""ItemWatch"",")</f>
        <v>"ItemWatch",</v>
      </c>
      <c r="B722" s="18" t="str">
        <f>if(isblank('RHS INPUT'!A722),,CONCATENATE("/*  ",'RHS INPUT'!A722,"  */"))</f>
        <v/>
      </c>
      <c r="C722" s="22" t="str">
        <f>if(isblank(A722),,if('RHS INPUT'!D722=1,Concatenate("class ",'RHS INPUT'!C722),))</f>
        <v>class ItemWatch</v>
      </c>
      <c r="D722" s="27" t="str">
        <f>if(ISBLANK(A722),,if('RHS INPUT'!D722=1,CONCATENATE("{quality = ",'RHS INPUT'!G722,"; price = ",Round('RHS INPUT'!M722),";};"),""))</f>
        <v>{quality = 1; price = 20;};</v>
      </c>
      <c r="E722" t="str">
        <f>IFERROR(__xludf.DUMMYFUNCTION("if(ISBLANK(A722),, if('RHS INPUT'!E722=1,CONCATENATE(CHAR(34),To_Text('RHS INPUT'!C722),CHAR(34),CHAR(44)),""""))"),"""ItemWatch"",")</f>
        <v>"ItemWatch",</v>
      </c>
      <c r="F722" s="28" t="str">
        <f>IF(isblank(A722) ,Concatenate("&gt; ",'RHS INPUT'!A722) , if('RHS INPUT'!F722=1,CONCATENATE(round('RHS INPUT'!N722),Char(44)," ",'RHS INPUT'!C722),""))</f>
        <v>83, ItemWatch</v>
      </c>
    </row>
    <row r="723" ht="12.0" customHeight="1">
      <c r="A723" s="1" t="str">
        <f>IFERROR(__xludf.DUMMYFUNCTION("if(ISBLANK('RHS INPUT'!C723),,CONCATENATE(CHAR(34),To_Text('RHS INPUT'!C723),CHAR(34),CHAR(44)))"),"""ItemGPS"",")</f>
        <v>"ItemGPS",</v>
      </c>
      <c r="B723" s="18" t="str">
        <f>if(isblank('RHS INPUT'!A723),,CONCATENATE("/*  ",'RHS INPUT'!A723,"  */"))</f>
        <v/>
      </c>
      <c r="C723" s="22" t="str">
        <f>if(isblank(A723),,if('RHS INPUT'!D723=1,Concatenate("class ",'RHS INPUT'!C723),))</f>
        <v>class ItemGPS</v>
      </c>
      <c r="D723" s="27" t="str">
        <f>if(ISBLANK(A723),,if('RHS INPUT'!D723=1,CONCATENATE("{quality = ",'RHS INPUT'!G723,"; price = ",Round('RHS INPUT'!M723),";};"),""))</f>
        <v>{quality = 2; price = 200;};</v>
      </c>
      <c r="E723" t="str">
        <f>IFERROR(__xludf.DUMMYFUNCTION("if(ISBLANK(A723),, if('RHS INPUT'!E723=1,CONCATENATE(CHAR(34),To_Text('RHS INPUT'!C723),CHAR(34),CHAR(44)),""""))"),"""ItemGPS"",")</f>
        <v>"ItemGPS",</v>
      </c>
      <c r="F723" s="28" t="str">
        <f>IF(isblank(A723) ,Concatenate("&gt; ",'RHS INPUT'!A723) , if('RHS INPUT'!F723=1,CONCATENATE(round('RHS INPUT'!N723),Char(44)," ",'RHS INPUT'!C723),""))</f>
        <v>33, ItemGPS</v>
      </c>
    </row>
    <row r="724" ht="12.0" customHeight="1">
      <c r="A724" s="1" t="str">
        <f>IFERROR(__xludf.DUMMYFUNCTION("if(ISBLANK('RHS INPUT'!C724),,CONCATENATE(CHAR(34),To_Text('RHS INPUT'!C724),CHAR(34),CHAR(44)))"),"""ItemMap"",")</f>
        <v>"ItemMap",</v>
      </c>
      <c r="B724" s="18" t="str">
        <f>if(isblank('RHS INPUT'!A724),,CONCATENATE("/*  ",'RHS INPUT'!A724,"  */"))</f>
        <v/>
      </c>
      <c r="C724" s="22" t="str">
        <f>if(isblank(A724),,if('RHS INPUT'!D724=1,Concatenate("class ",'RHS INPUT'!C724),))</f>
        <v>class ItemMap</v>
      </c>
      <c r="D724" s="27" t="str">
        <f>if(ISBLANK(A724),,if('RHS INPUT'!D724=1,CONCATENATE("{quality = ",'RHS INPUT'!G724,"; price = ",Round('RHS INPUT'!M724),";};"),""))</f>
        <v>{quality = 1; price = 20;};</v>
      </c>
      <c r="E724" t="str">
        <f>IFERROR(__xludf.DUMMYFUNCTION("if(ISBLANK(A724),, if('RHS INPUT'!E724=1,CONCATENATE(CHAR(34),To_Text('RHS INPUT'!C724),CHAR(34),CHAR(44)),""""))"),"""ItemMap"",")</f>
        <v>"ItemMap",</v>
      </c>
      <c r="F724" s="28" t="str">
        <f>IF(isblank(A724) ,Concatenate("&gt; ",'RHS INPUT'!A724) , if('RHS INPUT'!F724=1,CONCATENATE(round('RHS INPUT'!N724),Char(44)," ",'RHS INPUT'!C724),""))</f>
        <v>83, ItemMap</v>
      </c>
    </row>
    <row r="725" ht="12.0" customHeight="1">
      <c r="A725" s="1" t="str">
        <f>IFERROR(__xludf.DUMMYFUNCTION("if(ISBLANK('RHS INPUT'!C725),,CONCATENATE(CHAR(34),To_Text('RHS INPUT'!C725),CHAR(34),CHAR(44)))"),"""ItemCompass"",")</f>
        <v>"ItemCompass",</v>
      </c>
      <c r="B725" s="18" t="str">
        <f>if(isblank('RHS INPUT'!A725),,CONCATENATE("/*  ",'RHS INPUT'!A725,"  */"))</f>
        <v/>
      </c>
      <c r="C725" s="22" t="str">
        <f>if(isblank(A725),,if('RHS INPUT'!D725=1,Concatenate("class ",'RHS INPUT'!C725),))</f>
        <v>class ItemCompass</v>
      </c>
      <c r="D725" s="27" t="str">
        <f>if(ISBLANK(A725),,if('RHS INPUT'!D725=1,CONCATENATE("{quality = ",'RHS INPUT'!G725,"; price = ",Round('RHS INPUT'!M725),";};"),""))</f>
        <v>{quality = 1; price = 20;};</v>
      </c>
      <c r="E725" t="str">
        <f>IFERROR(__xludf.DUMMYFUNCTION("if(ISBLANK(A725),, if('RHS INPUT'!E725=1,CONCATENATE(CHAR(34),To_Text('RHS INPUT'!C725),CHAR(34),CHAR(44)),""""))"),"""ItemCompass"",")</f>
        <v>"ItemCompass",</v>
      </c>
      <c r="F725" s="28" t="str">
        <f>IF(isblank(A725) ,Concatenate("&gt; ",'RHS INPUT'!A725) , if('RHS INPUT'!F725=1,CONCATENATE(round('RHS INPUT'!N725),Char(44)," ",'RHS INPUT'!C725),""))</f>
        <v>83, ItemCompass</v>
      </c>
    </row>
    <row r="726" ht="12.0" customHeight="1">
      <c r="A726" s="1" t="str">
        <f>IFERROR(__xludf.DUMMYFUNCTION("if(ISBLANK('RHS INPUT'!C726),,CONCATENATE(CHAR(34),To_Text('RHS INPUT'!C726),CHAR(34),CHAR(44)))"),"""ItemRadio"",")</f>
        <v>"ItemRadio",</v>
      </c>
      <c r="B726" s="18" t="str">
        <f>if(isblank('RHS INPUT'!A726),,CONCATENATE("/*  ",'RHS INPUT'!A726,"  */"))</f>
        <v/>
      </c>
      <c r="C726" s="22" t="str">
        <f>if(isblank(A726),,if('RHS INPUT'!D726=1,Concatenate("class ",'RHS INPUT'!C726),))</f>
        <v>class ItemRadio</v>
      </c>
      <c r="D726" s="27" t="str">
        <f>if(ISBLANK(A726),,if('RHS INPUT'!D726=1,CONCATENATE("{quality = ",'RHS INPUT'!G726,"; price = ",Round('RHS INPUT'!M726),";};"),""))</f>
        <v>{quality = 1; price = 20;};</v>
      </c>
      <c r="E726" t="str">
        <f>IFERROR(__xludf.DUMMYFUNCTION("if(ISBLANK(A726),, if('RHS INPUT'!E726=1,CONCATENATE(CHAR(34),To_Text('RHS INPUT'!C726),CHAR(34),CHAR(44)),""""))"),"""ItemRadio"",")</f>
        <v>"ItemRadio",</v>
      </c>
      <c r="F726" s="28" t="str">
        <f>IF(isblank(A726) ,Concatenate("&gt; ",'RHS INPUT'!A726) , if('RHS INPUT'!F726=1,CONCATENATE(round('RHS INPUT'!N726),Char(44)," ",'RHS INPUT'!C726),""))</f>
        <v>83, ItemRadio</v>
      </c>
    </row>
    <row r="727" ht="12.0" customHeight="1">
      <c r="A727" s="1" t="str">
        <f>IFERROR(__xludf.DUMMYFUNCTION("if(ISBLANK('RHS INPUT'!C727),,CONCATENATE(CHAR(34),To_Text('RHS INPUT'!C727),CHAR(34),CHAR(44)))"),"""Binocular"",")</f>
        <v>"Binocular",</v>
      </c>
      <c r="B727" s="18" t="str">
        <f>if(isblank('RHS INPUT'!A727),,CONCATENATE("/*  ",'RHS INPUT'!A727,"  */"))</f>
        <v/>
      </c>
      <c r="C727" s="22" t="str">
        <f>if(isblank(A727),,if('RHS INPUT'!D727=1,Concatenate("class ",'RHS INPUT'!C727),))</f>
        <v>class Binocular</v>
      </c>
      <c r="D727" s="27" t="str">
        <f>if(ISBLANK(A727),,if('RHS INPUT'!D727=1,CONCATENATE("{quality = ",'RHS INPUT'!G727,"; price = ",Round('RHS INPUT'!M727),";};"),""))</f>
        <v>{quality = 2; price = 200;};</v>
      </c>
      <c r="E727" t="str">
        <f>IFERROR(__xludf.DUMMYFUNCTION("if(ISBLANK(A727),, if('RHS INPUT'!E727=1,CONCATENATE(CHAR(34),To_Text('RHS INPUT'!C727),CHAR(34),CHAR(44)),""""))"),"""Binocular"",")</f>
        <v>"Binocular",</v>
      </c>
      <c r="F727" s="28" t="str">
        <f>IF(isblank(A727) ,Concatenate("&gt; ",'RHS INPUT'!A727) , if('RHS INPUT'!F727=1,CONCATENATE(round('RHS INPUT'!N727),Char(44)," ",'RHS INPUT'!C727),""))</f>
        <v>33, Binocular</v>
      </c>
    </row>
    <row r="728" ht="12.0" customHeight="1">
      <c r="A728" s="1" t="str">
        <f>IFERROR(__xludf.DUMMYFUNCTION("if(ISBLANK('RHS INPUT'!C728),,CONCATENATE(CHAR(34),To_Text('RHS INPUT'!C728),CHAR(34),CHAR(44)))"),"""Rangefinder"",")</f>
        <v>"Rangefinder",</v>
      </c>
      <c r="B728" s="18" t="str">
        <f>if(isblank('RHS INPUT'!A728),,CONCATENATE("/*  ",'RHS INPUT'!A728,"  */"))</f>
        <v/>
      </c>
      <c r="C728" s="22" t="str">
        <f>if(isblank(A728),,if('RHS INPUT'!D728=1,Concatenate("class ",'RHS INPUT'!C728),))</f>
        <v>class Rangefinder</v>
      </c>
      <c r="D728" s="27" t="str">
        <f>if(ISBLANK(A728),,if('RHS INPUT'!D728=1,CONCATENATE("{quality = ",'RHS INPUT'!G728,"; price = ",Round('RHS INPUT'!M728),";};"),""))</f>
        <v>{quality = 3; price = 300;};</v>
      </c>
      <c r="E728" t="str">
        <f>IFERROR(__xludf.DUMMYFUNCTION("if(ISBLANK(A728),, if('RHS INPUT'!E728=1,CONCATENATE(CHAR(34),To_Text('RHS INPUT'!C728),CHAR(34),CHAR(44)),""""))"),"""Rangefinder"",")</f>
        <v>"Rangefinder",</v>
      </c>
      <c r="F728" s="28" t="str">
        <f>IF(isblank(A728) ,Concatenate("&gt; ",'RHS INPUT'!A728) , if('RHS INPUT'!F728=1,CONCATENATE(round('RHS INPUT'!N728),Char(44)," ",'RHS INPUT'!C728),""))</f>
        <v>25, Rangefinder</v>
      </c>
    </row>
    <row r="729" ht="12.0" customHeight="1">
      <c r="A729" s="1" t="str">
        <f>IFERROR(__xludf.DUMMYFUNCTION("if(ISBLANK('RHS INPUT'!C729),,CONCATENATE(CHAR(34),To_Text('RHS INPUT'!C729),CHAR(34),CHAR(44)))"),"""NVGoggles"",")</f>
        <v>"NVGoggles",</v>
      </c>
      <c r="B729" s="18" t="str">
        <f>if(isblank('RHS INPUT'!A729),,CONCATENATE("/*  ",'RHS INPUT'!A729,"  */"))</f>
        <v/>
      </c>
      <c r="C729" s="22" t="str">
        <f>if(isblank(A729),,if('RHS INPUT'!D729=1,Concatenate("class ",'RHS INPUT'!C729),))</f>
        <v>class NVGoggles</v>
      </c>
      <c r="D729" s="27" t="str">
        <f>if(ISBLANK(A729),,if('RHS INPUT'!D729=1,CONCATENATE("{quality = ",'RHS INPUT'!G729,"; price = ",Round('RHS INPUT'!M729),";};"),""))</f>
        <v>{quality = 3; price = 300;};</v>
      </c>
      <c r="E729" t="str">
        <f>IFERROR(__xludf.DUMMYFUNCTION("if(ISBLANK(A729),, if('RHS INPUT'!E729=1,CONCATENATE(CHAR(34),To_Text('RHS INPUT'!C729),CHAR(34),CHAR(44)),""""))"),"""NVGoggles"",")</f>
        <v>"NVGoggles",</v>
      </c>
      <c r="F729" s="28" t="str">
        <f>IF(isblank(A729) ,Concatenate("&gt; ",'RHS INPUT'!A729) , if('RHS INPUT'!F729=1,CONCATENATE(round('RHS INPUT'!N729),Char(44)," ",'RHS INPUT'!C729),""))</f>
        <v>25, NVGoggles</v>
      </c>
    </row>
    <row r="730" ht="12.0" customHeight="1">
      <c r="A730" s="1" t="str">
        <f>IFERROR(__xludf.DUMMYFUNCTION("if(ISBLANK('RHS INPUT'!C730),,CONCATENATE(CHAR(34),To_Text('RHS INPUT'!C730),CHAR(34),CHAR(44)))"),"""NVGoggles_INDEP"",")</f>
        <v>"NVGoggles_INDEP",</v>
      </c>
      <c r="B730" s="18" t="str">
        <f>if(isblank('RHS INPUT'!A730),,CONCATENATE("/*  ",'RHS INPUT'!A730,"  */"))</f>
        <v/>
      </c>
      <c r="C730" s="22" t="str">
        <f>if(isblank(A730),,if('RHS INPUT'!D730=1,Concatenate("class ",'RHS INPUT'!C730),))</f>
        <v>class NVGoggles_INDEP</v>
      </c>
      <c r="D730" s="27" t="str">
        <f>if(ISBLANK(A730),,if('RHS INPUT'!D730=1,CONCATENATE("{quality = ",'RHS INPUT'!G730,"; price = ",Round('RHS INPUT'!M730),";};"),""))</f>
        <v>{quality = 3; price = 300;};</v>
      </c>
      <c r="E730" t="str">
        <f>IFERROR(__xludf.DUMMYFUNCTION("if(ISBLANK(A730),, if('RHS INPUT'!E730=1,CONCATENATE(CHAR(34),To_Text('RHS INPUT'!C730),CHAR(34),CHAR(44)),""""))"),"""NVGoggles_INDEP"",")</f>
        <v>"NVGoggles_INDEP",</v>
      </c>
      <c r="F730" s="28" t="str">
        <f>IF(isblank(A730) ,Concatenate("&gt; ",'RHS INPUT'!A730) , if('RHS INPUT'!F730=1,CONCATENATE(round('RHS INPUT'!N730),Char(44)," ",'RHS INPUT'!C730),""))</f>
        <v>25, NVGoggles_INDEP</v>
      </c>
    </row>
    <row r="731" ht="12.0" customHeight="1">
      <c r="A731" s="1" t="str">
        <f>IFERROR(__xludf.DUMMYFUNCTION("if(ISBLANK('RHS INPUT'!C731),,CONCATENATE(CHAR(34),To_Text('RHS INPUT'!C731),CHAR(34),CHAR(44)))"),"""NVGoggles_OPFOR"",")</f>
        <v>"NVGoggles_OPFOR",</v>
      </c>
      <c r="B731" s="18" t="str">
        <f>if(isblank('RHS INPUT'!A731),,CONCATENATE("/*  ",'RHS INPUT'!A731,"  */"))</f>
        <v/>
      </c>
      <c r="C731" s="22" t="str">
        <f>if(isblank(A731),,if('RHS INPUT'!D731=1,Concatenate("class ",'RHS INPUT'!C731),))</f>
        <v>class NVGoggles_OPFOR</v>
      </c>
      <c r="D731" s="27" t="str">
        <f>if(ISBLANK(A731),,if('RHS INPUT'!D731=1,CONCATENATE("{quality = ",'RHS INPUT'!G731,"; price = ",Round('RHS INPUT'!M731),";};"),""))</f>
        <v>{quality = 3; price = 300;};</v>
      </c>
      <c r="E731" t="str">
        <f>IFERROR(__xludf.DUMMYFUNCTION("if(ISBLANK(A731),, if('RHS INPUT'!E731=1,CONCATENATE(CHAR(34),To_Text('RHS INPUT'!C731),CHAR(34),CHAR(44)),""""))"),"""NVGoggles_OPFOR"",")</f>
        <v>"NVGoggles_OPFOR",</v>
      </c>
      <c r="F731" s="28" t="str">
        <f>IF(isblank(A731) ,Concatenate("&gt; ",'RHS INPUT'!A731) , if('RHS INPUT'!F731=1,CONCATENATE(round('RHS INPUT'!N731),Char(44)," ",'RHS INPUT'!C731),""))</f>
        <v>25, NVGoggles_OPFOR</v>
      </c>
    </row>
    <row r="732" ht="12.0" customHeight="1">
      <c r="A732" s="1" t="str">
        <f>IFERROR(__xludf.DUMMYFUNCTION("if(ISBLANK('RHS INPUT'!C732),,CONCATENATE(CHAR(34),To_Text('RHS INPUT'!C732),CHAR(34),CHAR(44)))"),"""Exile_Item_XM8"",")</f>
        <v>"Exile_Item_XM8",</v>
      </c>
      <c r="B732" s="18" t="str">
        <f>if(isblank('RHS INPUT'!A732),,CONCATENATE("/*  ",'RHS INPUT'!A732,"  */"))</f>
        <v/>
      </c>
      <c r="C732" s="22" t="str">
        <f>if(isblank(A732),,if('RHS INPUT'!D732=1,Concatenate("class ",'RHS INPUT'!C732),))</f>
        <v>class Exile_Item_XM8</v>
      </c>
      <c r="D732" s="27" t="str">
        <f>if(ISBLANK(A732),,if('RHS INPUT'!D732=1,CONCATENATE("{quality = ",'RHS INPUT'!G732,"; price = ",Round('RHS INPUT'!M732),";};"),""))</f>
        <v>{quality = 1; price = 20;};</v>
      </c>
      <c r="E732" t="str">
        <f>IFERROR(__xludf.DUMMYFUNCTION("if(ISBLANK(A732),, if('RHS INPUT'!E732=1,CONCATENATE(CHAR(34),To_Text('RHS INPUT'!C732),CHAR(34),CHAR(44)),""""))"),"""Exile_Item_XM8"",")</f>
        <v>"Exile_Item_XM8",</v>
      </c>
      <c r="F732" s="28" t="str">
        <f>IF(isblank(A732) ,Concatenate("&gt; ",'RHS INPUT'!A732) , if('RHS INPUT'!F732=1,CONCATENATE(round('RHS INPUT'!N732),Char(44)," ",'RHS INPUT'!C732),""))</f>
        <v>83, Exile_Item_XM8</v>
      </c>
    </row>
    <row r="733" ht="12.0" customHeight="1">
      <c r="A733" s="1" t="str">
        <f>IFERROR(__xludf.DUMMYFUNCTION("if(ISBLANK('RHS INPUT'!C733),,CONCATENATE(CHAR(34),To_Text('RHS INPUT'!C733),CHAR(34),CHAR(44)))"),"""MineDetector"",")</f>
        <v>"MineDetector",</v>
      </c>
      <c r="B733" s="18" t="str">
        <f>if(isblank('RHS INPUT'!A733),,CONCATENATE("/*  ",'RHS INPUT'!A733,"  */"))</f>
        <v/>
      </c>
      <c r="C733" s="22" t="str">
        <f>if(isblank(A733),,if('RHS INPUT'!D733=1,Concatenate("class ",'RHS INPUT'!C733),))</f>
        <v>class MineDetector</v>
      </c>
      <c r="D733" s="27" t="str">
        <f>if(ISBLANK(A733),,if('RHS INPUT'!D733=1,CONCATENATE("{quality = ",'RHS INPUT'!G733,"; price = ",Round('RHS INPUT'!M733),";};"),""))</f>
        <v>{quality = 1; price = 150;};</v>
      </c>
      <c r="E733" t="str">
        <f>IFERROR(__xludf.DUMMYFUNCTION("if(ISBLANK(A733),, if('RHS INPUT'!E733=1,CONCATENATE(CHAR(34),To_Text('RHS INPUT'!C733),CHAR(34),CHAR(44)),""""))"),"""MineDetector"",")</f>
        <v>"MineDetector",</v>
      </c>
      <c r="F733" s="28" t="str">
        <f>IF(isblank(A733) ,Concatenate("&gt; ",'RHS INPUT'!A733) , if('RHS INPUT'!F733=1,CONCATENATE(round('RHS INPUT'!N733),Char(44)," ",'RHS INPUT'!C733),""))</f>
        <v>40, MineDetector</v>
      </c>
    </row>
    <row r="734" ht="12.0" customHeight="1">
      <c r="A734" s="1" t="str">
        <f>IFERROR(__xludf.DUMMYFUNCTION("if(ISBLANK('RHS INPUT'!C734),,CONCATENATE(CHAR(34),To_Text('RHS INPUT'!C734),CHAR(34),CHAR(44)))"),"")</f>
        <v/>
      </c>
      <c r="B734" s="18" t="str">
        <f>if(isblank('RHS INPUT'!A734),,CONCATENATE("/*  ",'RHS INPUT'!A734,"  */"))</f>
        <v>/*  UAVS  */</v>
      </c>
      <c r="C734" s="22" t="str">
        <f>if(isblank(A734),,if('RHS INPUT'!D734=1,Concatenate("class ",'RHS INPUT'!C734),))</f>
        <v/>
      </c>
      <c r="D734" s="27" t="str">
        <f>if(ISBLANK(A734),,if('RHS INPUT'!D734=1,CONCATENATE("{quality = ",'RHS INPUT'!G734,"; price = ",Round('RHS INPUT'!M734),";};"),""))</f>
        <v/>
      </c>
      <c r="E734" t="str">
        <f>IFERROR(__xludf.DUMMYFUNCTION("if(ISBLANK(A734),, if('RHS INPUT'!E734=1,CONCATENATE(CHAR(34),To_Text('RHS INPUT'!C734),CHAR(34),CHAR(44)),""""))"),"")</f>
        <v/>
      </c>
      <c r="F734" s="28" t="str">
        <f>IF(isblank(A734) ,Concatenate("&gt; ",'RHS INPUT'!A734) , if('RHS INPUT'!F734=1,CONCATENATE(round('RHS INPUT'!N734),Char(44)," ",'RHS INPUT'!C734),""))</f>
        <v>&gt; UAVS</v>
      </c>
    </row>
    <row r="735" ht="12.0" customHeight="1">
      <c r="A735" s="1" t="str">
        <f>IFERROR(__xludf.DUMMYFUNCTION("if(ISBLANK('RHS INPUT'!C735),,CONCATENATE(CHAR(34),To_Text('RHS INPUT'!C735),CHAR(34),CHAR(44)))"),"""I_UavTerminal"",")</f>
        <v>"I_UavTerminal",</v>
      </c>
      <c r="B735" s="18" t="str">
        <f>if(isblank('RHS INPUT'!A735),,CONCATENATE("/*  ",'RHS INPUT'!A735,"  */"))</f>
        <v/>
      </c>
      <c r="C735" s="22" t="str">
        <f>if(isblank(A735),,if('RHS INPUT'!D735=1,Concatenate("class ",'RHS INPUT'!C735),))</f>
        <v>class I_UavTerminal</v>
      </c>
      <c r="D735" s="27" t="str">
        <f>if(ISBLANK(A735),,if('RHS INPUT'!D735=1,CONCATENATE("{quality = ",'RHS INPUT'!G735,"; price = ",Round('RHS INPUT'!M735),";};"),""))</f>
        <v>{quality = 2; price = 600;};</v>
      </c>
      <c r="E735" t="str">
        <f>IFERROR(__xludf.DUMMYFUNCTION("if(ISBLANK(A735),, if('RHS INPUT'!E735=1,CONCATENATE(CHAR(34),To_Text('RHS INPUT'!C735),CHAR(34),CHAR(44)),""""))"),"""I_UavTerminal"",")</f>
        <v>"I_UavTerminal",</v>
      </c>
      <c r="F735" s="28" t="str">
        <f>IF(isblank(A735) ,Concatenate("&gt; ",'RHS INPUT'!A735) , if('RHS INPUT'!F735=1,CONCATENATE(round('RHS INPUT'!N735),Char(44)," ",'RHS INPUT'!C735),""))</f>
        <v>14, I_UavTerminal</v>
      </c>
    </row>
    <row r="736" ht="12.0" customHeight="1">
      <c r="A736" s="1" t="str">
        <f>IFERROR(__xludf.DUMMYFUNCTION("if(ISBLANK('RHS INPUT'!C736),,CONCATENATE(CHAR(34),To_Text('RHS INPUT'!C736),CHAR(34),CHAR(44)))"),"""I_UAV_01_backpack_F"",")</f>
        <v>"I_UAV_01_backpack_F",</v>
      </c>
      <c r="B736" s="18" t="str">
        <f>if(isblank('RHS INPUT'!A736),,CONCATENATE("/*  ",'RHS INPUT'!A736,"  */"))</f>
        <v/>
      </c>
      <c r="C736" s="22" t="str">
        <f>if(isblank(A736),,if('RHS INPUT'!D736=1,Concatenate("class ",'RHS INPUT'!C736),))</f>
        <v>class I_UAV_01_backpack_F</v>
      </c>
      <c r="D736" s="27" t="str">
        <f>if(ISBLANK(A736),,if('RHS INPUT'!D736=1,CONCATENATE("{quality = ",'RHS INPUT'!G736,"; price = ",Round('RHS INPUT'!M736),";};"),""))</f>
        <v>{quality = 3; price = 3000;};</v>
      </c>
      <c r="E736" t="str">
        <f>IFERROR(__xludf.DUMMYFUNCTION("if(ISBLANK(A736),, if('RHS INPUT'!E736=1,CONCATENATE(CHAR(34),To_Text('RHS INPUT'!C736),CHAR(34),CHAR(44)),""""))"),"""I_UAV_01_backpack_F"",")</f>
        <v>"I_UAV_01_backpack_F",</v>
      </c>
      <c r="F736" s="28" t="str">
        <f>IF(isblank(A736) ,Concatenate("&gt; ",'RHS INPUT'!A736) , if('RHS INPUT'!F736=1,CONCATENATE(round('RHS INPUT'!N736),Char(44)," ",'RHS INPUT'!C736),""))</f>
        <v>3, I_UAV_01_backpack_F</v>
      </c>
    </row>
    <row r="737" ht="12.0" customHeight="1">
      <c r="A737" s="1" t="str">
        <f>IFERROR(__xludf.DUMMYFUNCTION("if(ISBLANK('RHS INPUT'!C737),,CONCATENATE(CHAR(34),To_Text('RHS INPUT'!C737),CHAR(34),CHAR(44)))"),"")</f>
        <v/>
      </c>
      <c r="B737" s="18" t="str">
        <f>if(isblank('RHS INPUT'!A737),,CONCATENATE("/*  ",'RHS INPUT'!A737,"  */"))</f>
        <v>/*  BIKES  */</v>
      </c>
      <c r="C737" s="22" t="str">
        <f>if(isblank(A737),,if('RHS INPUT'!D737=1,Concatenate("class ",'RHS INPUT'!C737),))</f>
        <v/>
      </c>
      <c r="D737" s="27" t="str">
        <f>if(ISBLANK(A737),,if('RHS INPUT'!D737=1,CONCATENATE("{quality = ",'RHS INPUT'!G737,"; price = ",Round('RHS INPUT'!M737),";};"),""))</f>
        <v/>
      </c>
      <c r="E737" t="str">
        <f>IFERROR(__xludf.DUMMYFUNCTION("if(ISBLANK(A737),, if('RHS INPUT'!E737=1,CONCATENATE(CHAR(34),To_Text('RHS INPUT'!C737),CHAR(34),CHAR(44)),""""))"),"")</f>
        <v/>
      </c>
      <c r="F737" s="28" t="str">
        <f>IF(isblank(A737) ,Concatenate("&gt; ",'RHS INPUT'!A737) , if('RHS INPUT'!F737=1,CONCATENATE(round('RHS INPUT'!N737),Char(44)," ",'RHS INPUT'!C737),""))</f>
        <v>&gt; BIKES</v>
      </c>
    </row>
    <row r="738" ht="12.0" customHeight="1">
      <c r="A738" s="1" t="str">
        <f>IFERROR(__xludf.DUMMYFUNCTION("if(ISBLANK('RHS INPUT'!C738),,CONCATENATE(CHAR(34),To_Text('RHS INPUT'!C738),CHAR(34),CHAR(44)))"),"""Exile_Bike_OldBike"",")</f>
        <v>"Exile_Bike_OldBike",</v>
      </c>
      <c r="B738" s="18" t="str">
        <f>if(isblank('RHS INPUT'!A738),,CONCATENATE("/*  ",'RHS INPUT'!A738,"  */"))</f>
        <v/>
      </c>
      <c r="C738" s="22" t="str">
        <f>if(isblank(A738),,if('RHS INPUT'!D738=1,Concatenate("class ",'RHS INPUT'!C738),))</f>
        <v>class Exile_Bike_OldBike</v>
      </c>
      <c r="D738" s="27" t="str">
        <f>if(ISBLANK(A738),,if('RHS INPUT'!D738=1,CONCATENATE("{quality = ",'RHS INPUT'!G738,"; price = ",Round('RHS INPUT'!M738),";};"),""))</f>
        <v>{quality = 1; price = 100;};</v>
      </c>
      <c r="E738" t="str">
        <f>IFERROR(__xludf.DUMMYFUNCTION("if(ISBLANK(A738),, if('RHS INPUT'!E738=1,CONCATENATE(CHAR(34),To_Text('RHS INPUT'!C738),CHAR(34),CHAR(44)),""""))"),"""Exile_Bike_OldBike"",")</f>
        <v>"Exile_Bike_OldBike",</v>
      </c>
      <c r="F738" s="28" t="str">
        <f>IF(isblank(A738) ,Concatenate("&gt; ",'RHS INPUT'!A738) , if('RHS INPUT'!F738=1,CONCATENATE(round('RHS INPUT'!N738),Char(44)," ",'RHS INPUT'!C738),""))</f>
        <v/>
      </c>
    </row>
    <row r="739" ht="12.0" customHeight="1">
      <c r="A739" s="1" t="str">
        <f>IFERROR(__xludf.DUMMYFUNCTION("if(ISBLANK('RHS INPUT'!C739),,CONCATENATE(CHAR(34),To_Text('RHS INPUT'!C739),CHAR(34),CHAR(44)))"),"""Exile_Bike_MountainBike"",")</f>
        <v>"Exile_Bike_MountainBike",</v>
      </c>
      <c r="B739" s="18" t="str">
        <f>if(isblank('RHS INPUT'!A739),,CONCATENATE("/*  ",'RHS INPUT'!A739,"  */"))</f>
        <v/>
      </c>
      <c r="C739" s="22" t="str">
        <f>if(isblank(A739),,if('RHS INPUT'!D739=1,Concatenate("class ",'RHS INPUT'!C739),))</f>
        <v>class Exile_Bike_MountainBike</v>
      </c>
      <c r="D739" s="27" t="str">
        <f>if(ISBLANK(A739),,if('RHS INPUT'!D739=1,CONCATENATE("{quality = ",'RHS INPUT'!G739,"; price = ",Round('RHS INPUT'!M739),";};"),""))</f>
        <v>{quality = 1; price = 300;};</v>
      </c>
      <c r="E739" t="str">
        <f>IFERROR(__xludf.DUMMYFUNCTION("if(ISBLANK(A739),, if('RHS INPUT'!E739=1,CONCATENATE(CHAR(34),To_Text('RHS INPUT'!C739),CHAR(34),CHAR(44)),""""))"),"""Exile_Bike_MountainBike"",")</f>
        <v>"Exile_Bike_MountainBike",</v>
      </c>
      <c r="F739" s="28" t="str">
        <f>IF(isblank(A739) ,Concatenate("&gt; ",'RHS INPUT'!A739) , if('RHS INPUT'!F739=1,CONCATENATE(round('RHS INPUT'!N739),Char(44)," ",'RHS INPUT'!C739),""))</f>
        <v/>
      </c>
    </row>
    <row r="740" ht="12.0" customHeight="1">
      <c r="A740" s="1" t="str">
        <f>IFERROR(__xludf.DUMMYFUNCTION("if(ISBLANK('RHS INPUT'!C740),,CONCATENATE(CHAR(34),To_Text('RHS INPUT'!C740),CHAR(34),CHAR(44)))"),"")</f>
        <v/>
      </c>
      <c r="B740" s="18" t="str">
        <f>if(isblank('RHS INPUT'!A740),,CONCATENATE("/*  ",'RHS INPUT'!A740,"  */"))</f>
        <v>/*  CARS  */</v>
      </c>
      <c r="C740" s="22" t="str">
        <f>if(isblank(A740),,if('RHS INPUT'!D740=1,Concatenate("class ",'RHS INPUT'!C740),))</f>
        <v/>
      </c>
      <c r="D740" s="27" t="str">
        <f>if(ISBLANK(A740),,if('RHS INPUT'!D740=1,CONCATENATE("{quality = ",'RHS INPUT'!G740,"; price = ",Round('RHS INPUT'!M740),";};"),""))</f>
        <v/>
      </c>
      <c r="E740" t="str">
        <f>IFERROR(__xludf.DUMMYFUNCTION("if(ISBLANK(A740),, if('RHS INPUT'!E740=1,CONCATENATE(CHAR(34),To_Text('RHS INPUT'!C740),CHAR(34),CHAR(44)),""""))"),"")</f>
        <v/>
      </c>
      <c r="F740" s="28" t="str">
        <f>IF(isblank(A740) ,Concatenate("&gt; ",'RHS INPUT'!A740) , if('RHS INPUT'!F740=1,CONCATENATE(round('RHS INPUT'!N740),Char(44)," ",'RHS INPUT'!C740),""))</f>
        <v>&gt; CARS</v>
      </c>
    </row>
    <row r="741" ht="12.0" customHeight="1">
      <c r="A741" s="1" t="str">
        <f>IFERROR(__xludf.DUMMYFUNCTION("if(ISBLANK('RHS INPUT'!C741),,CONCATENATE(CHAR(34),To_Text('RHS INPUT'!C741),CHAR(34),CHAR(44)))"),"""Exile_Car_Kart_Black"",")</f>
        <v>"Exile_Car_Kart_Black",</v>
      </c>
      <c r="B741" s="18" t="str">
        <f>if(isblank('RHS INPUT'!A741),,CONCATENATE("/*  ",'RHS INPUT'!A741,"  */"))</f>
        <v/>
      </c>
      <c r="C741" s="22" t="str">
        <f>if(isblank(A741),,if('RHS INPUT'!D741=1,Concatenate("class ",'RHS INPUT'!C741),))</f>
        <v>class Exile_Car_Kart_Black</v>
      </c>
      <c r="D741" s="27" t="str">
        <f>if(ISBLANK(A741),,if('RHS INPUT'!D741=1,CONCATENATE("{quality = ",'RHS INPUT'!G741,"; price = ",Round('RHS INPUT'!M741),";};"),""))</f>
        <v>{quality = 1; price = 1100;};</v>
      </c>
      <c r="E741" t="str">
        <f>IFERROR(__xludf.DUMMYFUNCTION("if(ISBLANK(A741),, if('RHS INPUT'!E741=1,CONCATENATE(CHAR(34),To_Text('RHS INPUT'!C741),CHAR(34),CHAR(44)),""""))"),"""Exile_Car_Kart_Black"",")</f>
        <v>"Exile_Car_Kart_Black",</v>
      </c>
      <c r="F741" s="28" t="str">
        <f>IF(isblank(A741) ,Concatenate("&gt; ",'RHS INPUT'!A741) , if('RHS INPUT'!F741=1,CONCATENATE(round('RHS INPUT'!N741),Char(44)," ",'RHS INPUT'!C741),""))</f>
        <v/>
      </c>
    </row>
    <row r="742" ht="12.0" customHeight="1">
      <c r="A742" s="1" t="str">
        <f>IFERROR(__xludf.DUMMYFUNCTION("if(ISBLANK('RHS INPUT'!C742),,CONCATENATE(CHAR(34),To_Text('RHS INPUT'!C742),CHAR(34),CHAR(44)))"),"""Exile_Car_Kart_BluKing"",")</f>
        <v>"Exile_Car_Kart_BluKing",</v>
      </c>
      <c r="B742" s="18" t="str">
        <f>if(isblank('RHS INPUT'!A742),,CONCATENATE("/*  ",'RHS INPUT'!A742,"  */"))</f>
        <v/>
      </c>
      <c r="C742" s="22" t="str">
        <f>if(isblank(A742),,if('RHS INPUT'!D742=1,Concatenate("class ",'RHS INPUT'!C742),))</f>
        <v>class Exile_Car_Kart_BluKing</v>
      </c>
      <c r="D742" s="27" t="str">
        <f>if(ISBLANK(A742),,if('RHS INPUT'!D742=1,CONCATENATE("{quality = ",'RHS INPUT'!G742,"; price = ",Round('RHS INPUT'!M742),";};"),""))</f>
        <v>{quality = 1; price = 1100;};</v>
      </c>
      <c r="E742" t="str">
        <f>IFERROR(__xludf.DUMMYFUNCTION("if(ISBLANK(A742),, if('RHS INPUT'!E742=1,CONCATENATE(CHAR(34),To_Text('RHS INPUT'!C742),CHAR(34),CHAR(44)),""""))"),"")</f>
        <v/>
      </c>
      <c r="F742" s="28" t="str">
        <f>IF(isblank(A742) ,Concatenate("&gt; ",'RHS INPUT'!A742) , if('RHS INPUT'!F742=1,CONCATENATE(round('RHS INPUT'!N742),Char(44)," ",'RHS INPUT'!C742),""))</f>
        <v/>
      </c>
    </row>
    <row r="743" ht="12.0" customHeight="1">
      <c r="A743" s="1" t="str">
        <f>IFERROR(__xludf.DUMMYFUNCTION("if(ISBLANK('RHS INPUT'!C743),,CONCATENATE(CHAR(34),To_Text('RHS INPUT'!C743),CHAR(34),CHAR(44)))"),"""Exile_Car_Kart_RedStone"",")</f>
        <v>"Exile_Car_Kart_RedStone",</v>
      </c>
      <c r="B743" s="18" t="str">
        <f>if(isblank('RHS INPUT'!A743),,CONCATENATE("/*  ",'RHS INPUT'!A743,"  */"))</f>
        <v/>
      </c>
      <c r="C743" s="22" t="str">
        <f>if(isblank(A743),,if('RHS INPUT'!D743=1,Concatenate("class ",'RHS INPUT'!C743),))</f>
        <v>class Exile_Car_Kart_RedStone</v>
      </c>
      <c r="D743" s="27" t="str">
        <f>if(ISBLANK(A743),,if('RHS INPUT'!D743=1,CONCATENATE("{quality = ",'RHS INPUT'!G743,"; price = ",Round('RHS INPUT'!M743),";};"),""))</f>
        <v>{quality = 1; price = 1100;};</v>
      </c>
      <c r="E743" t="str">
        <f>IFERROR(__xludf.DUMMYFUNCTION("if(ISBLANK(A743),, if('RHS INPUT'!E743=1,CONCATENATE(CHAR(34),To_Text('RHS INPUT'!C743),CHAR(34),CHAR(44)),""""))"),"")</f>
        <v/>
      </c>
      <c r="F743" s="28" t="str">
        <f>IF(isblank(A743) ,Concatenate("&gt; ",'RHS INPUT'!A743) , if('RHS INPUT'!F743=1,CONCATENATE(round('RHS INPUT'!N743),Char(44)," ",'RHS INPUT'!C743),""))</f>
        <v/>
      </c>
    </row>
    <row r="744" ht="12.0" customHeight="1">
      <c r="A744" s="1" t="str">
        <f>IFERROR(__xludf.DUMMYFUNCTION("if(ISBLANK('RHS INPUT'!C744),,CONCATENATE(CHAR(34),To_Text('RHS INPUT'!C744),CHAR(34),CHAR(44)))"),"""Exile_Car_Kart_Vrana"",")</f>
        <v>"Exile_Car_Kart_Vrana",</v>
      </c>
      <c r="B744" s="18" t="str">
        <f>if(isblank('RHS INPUT'!A744),,CONCATENATE("/*  ",'RHS INPUT'!A744,"  */"))</f>
        <v/>
      </c>
      <c r="C744" s="22" t="str">
        <f>if(isblank(A744),,if('RHS INPUT'!D744=1,Concatenate("class ",'RHS INPUT'!C744),))</f>
        <v>class Exile_Car_Kart_Vrana</v>
      </c>
      <c r="D744" s="27" t="str">
        <f>if(ISBLANK(A744),,if('RHS INPUT'!D744=1,CONCATENATE("{quality = ",'RHS INPUT'!G744,"; price = ",Round('RHS INPUT'!M744),";};"),""))</f>
        <v>{quality = 1; price = 1100;};</v>
      </c>
      <c r="E744" t="str">
        <f>IFERROR(__xludf.DUMMYFUNCTION("if(ISBLANK(A744),, if('RHS INPUT'!E744=1,CONCATENATE(CHAR(34),To_Text('RHS INPUT'!C744),CHAR(34),CHAR(44)),""""))"),"")</f>
        <v/>
      </c>
      <c r="F744" s="28" t="str">
        <f>IF(isblank(A744) ,Concatenate("&gt; ",'RHS INPUT'!A744) , if('RHS INPUT'!F744=1,CONCATENATE(round('RHS INPUT'!N744),Char(44)," ",'RHS INPUT'!C744),""))</f>
        <v/>
      </c>
    </row>
    <row r="745" ht="12.0" customHeight="1">
      <c r="A745" s="1" t="str">
        <f>IFERROR(__xludf.DUMMYFUNCTION("if(ISBLANK('RHS INPUT'!C745),,CONCATENATE(CHAR(34),To_Text('RHS INPUT'!C745),CHAR(34),CHAR(44)))"),"""Exile_Car_Kart_Green"",")</f>
        <v>"Exile_Car_Kart_Green",</v>
      </c>
      <c r="B745" s="18" t="str">
        <f>if(isblank('RHS INPUT'!A745),,CONCATENATE("/*  ",'RHS INPUT'!A745,"  */"))</f>
        <v/>
      </c>
      <c r="C745" s="22" t="str">
        <f>if(isblank(A745),,if('RHS INPUT'!D745=1,Concatenate("class ",'RHS INPUT'!C745),))</f>
        <v>class Exile_Car_Kart_Green</v>
      </c>
      <c r="D745" s="27" t="str">
        <f>if(ISBLANK(A745),,if('RHS INPUT'!D745=1,CONCATENATE("{quality = ",'RHS INPUT'!G745,"; price = ",Round('RHS INPUT'!M745),";};"),""))</f>
        <v>{quality = 1; price = 1100;};</v>
      </c>
      <c r="E745" t="str">
        <f>IFERROR(__xludf.DUMMYFUNCTION("if(ISBLANK(A745),, if('RHS INPUT'!E745=1,CONCATENATE(CHAR(34),To_Text('RHS INPUT'!C745),CHAR(34),CHAR(44)),""""))"),"")</f>
        <v/>
      </c>
      <c r="F745" s="28" t="str">
        <f>IF(isblank(A745) ,Concatenate("&gt; ",'RHS INPUT'!A745) , if('RHS INPUT'!F745=1,CONCATENATE(round('RHS INPUT'!N745),Char(44)," ",'RHS INPUT'!C745),""))</f>
        <v/>
      </c>
    </row>
    <row r="746" ht="12.0" customHeight="1">
      <c r="A746" s="1" t="str">
        <f>IFERROR(__xludf.DUMMYFUNCTION("if(ISBLANK('RHS INPUT'!C746),,CONCATENATE(CHAR(34),To_Text('RHS INPUT'!C746),CHAR(34),CHAR(44)))"),"""Exile_Car_Kart_Blue"",")</f>
        <v>"Exile_Car_Kart_Blue",</v>
      </c>
      <c r="B746" s="18" t="str">
        <f>if(isblank('RHS INPUT'!A746),,CONCATENATE("/*  ",'RHS INPUT'!A746,"  */"))</f>
        <v/>
      </c>
      <c r="C746" s="22" t="str">
        <f>if(isblank(A746),,if('RHS INPUT'!D746=1,Concatenate("class ",'RHS INPUT'!C746),))</f>
        <v>class Exile_Car_Kart_Blue</v>
      </c>
      <c r="D746" s="27" t="str">
        <f>if(ISBLANK(A746),,if('RHS INPUT'!D746=1,CONCATENATE("{quality = ",'RHS INPUT'!G746,"; price = ",Round('RHS INPUT'!M746),";};"),""))</f>
        <v>{quality = 1; price = 1100;};</v>
      </c>
      <c r="E746" t="str">
        <f>IFERROR(__xludf.DUMMYFUNCTION("if(ISBLANK(A746),, if('RHS INPUT'!E746=1,CONCATENATE(CHAR(34),To_Text('RHS INPUT'!C746),CHAR(34),CHAR(44)),""""))"),"")</f>
        <v/>
      </c>
      <c r="F746" s="28" t="str">
        <f>IF(isblank(A746) ,Concatenate("&gt; ",'RHS INPUT'!A746) , if('RHS INPUT'!F746=1,CONCATENATE(round('RHS INPUT'!N746),Char(44)," ",'RHS INPUT'!C746),""))</f>
        <v/>
      </c>
    </row>
    <row r="747" ht="12.0" customHeight="1">
      <c r="A747" s="1" t="str">
        <f>IFERROR(__xludf.DUMMYFUNCTION("if(ISBLANK('RHS INPUT'!C747),,CONCATENATE(CHAR(34),To_Text('RHS INPUT'!C747),CHAR(34),CHAR(44)))"),"""Exile_Car_Kart_Orange"",")</f>
        <v>"Exile_Car_Kart_Orange",</v>
      </c>
      <c r="B747" s="18" t="str">
        <f>if(isblank('RHS INPUT'!A747),,CONCATENATE("/*  ",'RHS INPUT'!A747,"  */"))</f>
        <v/>
      </c>
      <c r="C747" s="22" t="str">
        <f>if(isblank(A747),,if('RHS INPUT'!D747=1,Concatenate("class ",'RHS INPUT'!C747),))</f>
        <v>class Exile_Car_Kart_Orange</v>
      </c>
      <c r="D747" s="27" t="str">
        <f>if(ISBLANK(A747),,if('RHS INPUT'!D747=1,CONCATENATE("{quality = ",'RHS INPUT'!G747,"; price = ",Round('RHS INPUT'!M747),";};"),""))</f>
        <v>{quality = 1; price = 1100;};</v>
      </c>
      <c r="E747" t="str">
        <f>IFERROR(__xludf.DUMMYFUNCTION("if(ISBLANK(A747),, if('RHS INPUT'!E747=1,CONCATENATE(CHAR(34),To_Text('RHS INPUT'!C747),CHAR(34),CHAR(44)),""""))"),"")</f>
        <v/>
      </c>
      <c r="F747" s="28" t="str">
        <f>IF(isblank(A747) ,Concatenate("&gt; ",'RHS INPUT'!A747) , if('RHS INPUT'!F747=1,CONCATENATE(round('RHS INPUT'!N747),Char(44)," ",'RHS INPUT'!C747),""))</f>
        <v/>
      </c>
    </row>
    <row r="748" ht="12.0" customHeight="1">
      <c r="A748" s="1" t="str">
        <f>IFERROR(__xludf.DUMMYFUNCTION("if(ISBLANK('RHS INPUT'!C748),,CONCATENATE(CHAR(34),To_Text('RHS INPUT'!C748),CHAR(34),CHAR(44)))"),"""Exile_Car_Kart_White"",")</f>
        <v>"Exile_Car_Kart_White",</v>
      </c>
      <c r="B748" s="18" t="str">
        <f>if(isblank('RHS INPUT'!A748),,CONCATENATE("/*  ",'RHS INPUT'!A748,"  */"))</f>
        <v/>
      </c>
      <c r="C748" s="22" t="str">
        <f>if(isblank(A748),,if('RHS INPUT'!D748=1,Concatenate("class ",'RHS INPUT'!C748),))</f>
        <v>class Exile_Car_Kart_White</v>
      </c>
      <c r="D748" s="27" t="str">
        <f>if(ISBLANK(A748),,if('RHS INPUT'!D748=1,CONCATENATE("{quality = ",'RHS INPUT'!G748,"; price = ",Round('RHS INPUT'!M748),";};"),""))</f>
        <v>{quality = 1; price = 1100;};</v>
      </c>
      <c r="E748" t="str">
        <f>IFERROR(__xludf.DUMMYFUNCTION("if(ISBLANK(A748),, if('RHS INPUT'!E748=1,CONCATENATE(CHAR(34),To_Text('RHS INPUT'!C748),CHAR(34),CHAR(44)),""""))"),"")</f>
        <v/>
      </c>
      <c r="F748" s="28" t="str">
        <f>IF(isblank(A748) ,Concatenate("&gt; ",'RHS INPUT'!A748) , if('RHS INPUT'!F748=1,CONCATENATE(round('RHS INPUT'!N748),Char(44)," ",'RHS INPUT'!C748),""))</f>
        <v/>
      </c>
    </row>
    <row r="749" ht="12.0" customHeight="1">
      <c r="A749" s="1" t="str">
        <f>IFERROR(__xludf.DUMMYFUNCTION("if(ISBLANK('RHS INPUT'!C749),,CONCATENATE(CHAR(34),To_Text('RHS INPUT'!C749),CHAR(34),CHAR(44)))"),"""Exile_Car_Kart_Yellow"",")</f>
        <v>"Exile_Car_Kart_Yellow",</v>
      </c>
      <c r="B749" s="18" t="str">
        <f>if(isblank('RHS INPUT'!A749),,CONCATENATE("/*  ",'RHS INPUT'!A749,"  */"))</f>
        <v/>
      </c>
      <c r="C749" s="22" t="str">
        <f>if(isblank(A749),,if('RHS INPUT'!D749=1,Concatenate("class ",'RHS INPUT'!C749),))</f>
        <v>class Exile_Car_Kart_Yellow</v>
      </c>
      <c r="D749" s="27" t="str">
        <f>if(ISBLANK(A749),,if('RHS INPUT'!D749=1,CONCATENATE("{quality = ",'RHS INPUT'!G749,"; price = ",Round('RHS INPUT'!M749),";};"),""))</f>
        <v>{quality = 1; price = 1100;};</v>
      </c>
      <c r="E749" t="str">
        <f>IFERROR(__xludf.DUMMYFUNCTION("if(ISBLANK(A749),, if('RHS INPUT'!E749=1,CONCATENATE(CHAR(34),To_Text('RHS INPUT'!C749),CHAR(34),CHAR(44)),""""))"),"")</f>
        <v/>
      </c>
      <c r="F749" s="28" t="str">
        <f>IF(isblank(A749) ,Concatenate("&gt; ",'RHS INPUT'!A749) , if('RHS INPUT'!F749=1,CONCATENATE(round('RHS INPUT'!N749),Char(44)," ",'RHS INPUT'!C749),""))</f>
        <v/>
      </c>
    </row>
    <row r="750" ht="12.0" customHeight="1">
      <c r="A750" s="1" t="str">
        <f>IFERROR(__xludf.DUMMYFUNCTION("if(ISBLANK('RHS INPUT'!C750),,CONCATENATE(CHAR(34),To_Text('RHS INPUT'!C750),CHAR(34),CHAR(44)))"),"""Exile_Bike_QuadBike_Black"",")</f>
        <v>"Exile_Bike_QuadBike_Black",</v>
      </c>
      <c r="B750" s="18" t="str">
        <f>if(isblank('RHS INPUT'!A750),,CONCATENATE("/*  ",'RHS INPUT'!A750,"  */"))</f>
        <v/>
      </c>
      <c r="C750" s="22" t="str">
        <f>if(isblank(A750),,if('RHS INPUT'!D750=1,Concatenate("class ",'RHS INPUT'!C750),))</f>
        <v>class Exile_Bike_QuadBike_Black</v>
      </c>
      <c r="D750" s="27" t="str">
        <f>if(ISBLANK(A750),,if('RHS INPUT'!D750=1,CONCATENATE("{quality = ",'RHS INPUT'!G750,"; price = ",Round('RHS INPUT'!M750),";};"),""))</f>
        <v>{quality = 1; price = 2500;};</v>
      </c>
      <c r="E750" t="str">
        <f>IFERROR(__xludf.DUMMYFUNCTION("if(ISBLANK(A750),, if('RHS INPUT'!E750=1,CONCATENATE(CHAR(34),To_Text('RHS INPUT'!C750),CHAR(34),CHAR(44)),""""))"),"""Exile_Bike_QuadBike_Black"",")</f>
        <v>"Exile_Bike_QuadBike_Black",</v>
      </c>
      <c r="F750" s="28" t="str">
        <f>IF(isblank(A750) ,Concatenate("&gt; ",'RHS INPUT'!A750) , if('RHS INPUT'!F750=1,CONCATENATE(round('RHS INPUT'!N750),Char(44)," ",'RHS INPUT'!C750),""))</f>
        <v/>
      </c>
    </row>
    <row r="751" ht="12.0" customHeight="1">
      <c r="A751" s="1" t="str">
        <f>IFERROR(__xludf.DUMMYFUNCTION("if(ISBLANK('RHS INPUT'!C751),,CONCATENATE(CHAR(34),To_Text('RHS INPUT'!C751),CHAR(34),CHAR(44)))"),"""Exile_Bike_QuadBike_Blue"",")</f>
        <v>"Exile_Bike_QuadBike_Blue",</v>
      </c>
      <c r="B751" s="18" t="str">
        <f>if(isblank('RHS INPUT'!A751),,CONCATENATE("/*  ",'RHS INPUT'!A751,"  */"))</f>
        <v/>
      </c>
      <c r="C751" s="22" t="str">
        <f>if(isblank(A751),,if('RHS INPUT'!D751=1,Concatenate("class ",'RHS INPUT'!C751),))</f>
        <v>class Exile_Bike_QuadBike_Blue</v>
      </c>
      <c r="D751" s="27" t="str">
        <f>if(ISBLANK(A751),,if('RHS INPUT'!D751=1,CONCATENATE("{quality = ",'RHS INPUT'!G751,"; price = ",Round('RHS INPUT'!M751),";};"),""))</f>
        <v>{quality = 1; price = 2500;};</v>
      </c>
      <c r="E751" t="str">
        <f>IFERROR(__xludf.DUMMYFUNCTION("if(ISBLANK(A751),, if('RHS INPUT'!E751=1,CONCATENATE(CHAR(34),To_Text('RHS INPUT'!C751),CHAR(34),CHAR(44)),""""))"),"")</f>
        <v/>
      </c>
      <c r="F751" s="28" t="str">
        <f>IF(isblank(A751) ,Concatenate("&gt; ",'RHS INPUT'!A751) , if('RHS INPUT'!F751=1,CONCATENATE(round('RHS INPUT'!N751),Char(44)," ",'RHS INPUT'!C751),""))</f>
        <v/>
      </c>
    </row>
    <row r="752" ht="12.0" customHeight="1">
      <c r="A752" s="1" t="str">
        <f>IFERROR(__xludf.DUMMYFUNCTION("if(ISBLANK('RHS INPUT'!C752),,CONCATENATE(CHAR(34),To_Text('RHS INPUT'!C752),CHAR(34),CHAR(44)))"),"""Exile_Bike_QuadBike_Red"",")</f>
        <v>"Exile_Bike_QuadBike_Red",</v>
      </c>
      <c r="B752" s="18" t="str">
        <f>if(isblank('RHS INPUT'!A752),,CONCATENATE("/*  ",'RHS INPUT'!A752,"  */"))</f>
        <v/>
      </c>
      <c r="C752" s="22" t="str">
        <f>if(isblank(A752),,if('RHS INPUT'!D752=1,Concatenate("class ",'RHS INPUT'!C752),))</f>
        <v>class Exile_Bike_QuadBike_Red</v>
      </c>
      <c r="D752" s="27" t="str">
        <f>if(ISBLANK(A752),,if('RHS INPUT'!D752=1,CONCATENATE("{quality = ",'RHS INPUT'!G752,"; price = ",Round('RHS INPUT'!M752),";};"),""))</f>
        <v>{quality = 1; price = 2500;};</v>
      </c>
      <c r="E752" t="str">
        <f>IFERROR(__xludf.DUMMYFUNCTION("if(ISBLANK(A752),, if('RHS INPUT'!E752=1,CONCATENATE(CHAR(34),To_Text('RHS INPUT'!C752),CHAR(34),CHAR(44)),""""))"),"")</f>
        <v/>
      </c>
      <c r="F752" s="28" t="str">
        <f>IF(isblank(A752) ,Concatenate("&gt; ",'RHS INPUT'!A752) , if('RHS INPUT'!F752=1,CONCATENATE(round('RHS INPUT'!N752),Char(44)," ",'RHS INPUT'!C752),""))</f>
        <v/>
      </c>
    </row>
    <row r="753" ht="12.0" customHeight="1">
      <c r="A753" s="1" t="str">
        <f>IFERROR(__xludf.DUMMYFUNCTION("if(ISBLANK('RHS INPUT'!C753),,CONCATENATE(CHAR(34),To_Text('RHS INPUT'!C753),CHAR(34),CHAR(44)))"),"""Exile_Bike_QuadBike_White"",")</f>
        <v>"Exile_Bike_QuadBike_White",</v>
      </c>
      <c r="B753" s="18" t="str">
        <f>if(isblank('RHS INPUT'!A753),,CONCATENATE("/*  ",'RHS INPUT'!A753,"  */"))</f>
        <v/>
      </c>
      <c r="C753" s="22" t="str">
        <f>if(isblank(A753),,if('RHS INPUT'!D753=1,Concatenate("class ",'RHS INPUT'!C753),))</f>
        <v>class Exile_Bike_QuadBike_White</v>
      </c>
      <c r="D753" s="27" t="str">
        <f>if(ISBLANK(A753),,if('RHS INPUT'!D753=1,CONCATENATE("{quality = ",'RHS INPUT'!G753,"; price = ",Round('RHS INPUT'!M753),";};"),""))</f>
        <v>{quality = 1; price = 2500;};</v>
      </c>
      <c r="E753" t="str">
        <f>IFERROR(__xludf.DUMMYFUNCTION("if(ISBLANK(A753),, if('RHS INPUT'!E753=1,CONCATENATE(CHAR(34),To_Text('RHS INPUT'!C753),CHAR(34),CHAR(44)),""""))"),"")</f>
        <v/>
      </c>
      <c r="F753" s="28" t="str">
        <f>IF(isblank(A753) ,Concatenate("&gt; ",'RHS INPUT'!A753) , if('RHS INPUT'!F753=1,CONCATENATE(round('RHS INPUT'!N753),Char(44)," ",'RHS INPUT'!C753),""))</f>
        <v/>
      </c>
    </row>
    <row r="754" ht="12.0" customHeight="1">
      <c r="A754" s="1" t="str">
        <f>IFERROR(__xludf.DUMMYFUNCTION("if(ISBLANK('RHS INPUT'!C754),,CONCATENATE(CHAR(34),To_Text('RHS INPUT'!C754),CHAR(34),CHAR(44)))"),"""Exile_Bike_QuadBike_Nato"",")</f>
        <v>"Exile_Bike_QuadBike_Nato",</v>
      </c>
      <c r="B754" s="18" t="str">
        <f>if(isblank('RHS INPUT'!A754),,CONCATENATE("/*  ",'RHS INPUT'!A754,"  */"))</f>
        <v/>
      </c>
      <c r="C754" s="22" t="str">
        <f>if(isblank(A754),,if('RHS INPUT'!D754=1,Concatenate("class ",'RHS INPUT'!C754),))</f>
        <v>class Exile_Bike_QuadBike_Nato</v>
      </c>
      <c r="D754" s="27" t="str">
        <f>if(ISBLANK(A754),,if('RHS INPUT'!D754=1,CONCATENATE("{quality = ",'RHS INPUT'!G754,"; price = ",Round('RHS INPUT'!M754),";};"),""))</f>
        <v>{quality = 1; price = 2500;};</v>
      </c>
      <c r="E754" t="str">
        <f>IFERROR(__xludf.DUMMYFUNCTION("if(ISBLANK(A754),, if('RHS INPUT'!E754=1,CONCATENATE(CHAR(34),To_Text('RHS INPUT'!C754),CHAR(34),CHAR(44)),""""))"),"")</f>
        <v/>
      </c>
      <c r="F754" s="28" t="str">
        <f>IF(isblank(A754) ,Concatenate("&gt; ",'RHS INPUT'!A754) , if('RHS INPUT'!F754=1,CONCATENATE(round('RHS INPUT'!N754),Char(44)," ",'RHS INPUT'!C754),""))</f>
        <v/>
      </c>
    </row>
    <row r="755" ht="12.0" customHeight="1">
      <c r="A755" s="1" t="str">
        <f>IFERROR(__xludf.DUMMYFUNCTION("if(ISBLANK('RHS INPUT'!C755),,CONCATENATE(CHAR(34),To_Text('RHS INPUT'!C755),CHAR(34),CHAR(44)))"),"""Exile_Bike_QuadBike_Csat"",")</f>
        <v>"Exile_Bike_QuadBike_Csat",</v>
      </c>
      <c r="B755" s="18" t="str">
        <f>if(isblank('RHS INPUT'!A755),,CONCATENATE("/*  ",'RHS INPUT'!A755,"  */"))</f>
        <v/>
      </c>
      <c r="C755" s="22" t="str">
        <f>if(isblank(A755),,if('RHS INPUT'!D755=1,Concatenate("class ",'RHS INPUT'!C755),))</f>
        <v>class Exile_Bike_QuadBike_Csat</v>
      </c>
      <c r="D755" s="27" t="str">
        <f>if(ISBLANK(A755),,if('RHS INPUT'!D755=1,CONCATENATE("{quality = ",'RHS INPUT'!G755,"; price = ",Round('RHS INPUT'!M755),";};"),""))</f>
        <v>{quality = 1; price = 2500;};</v>
      </c>
      <c r="E755" t="str">
        <f>IFERROR(__xludf.DUMMYFUNCTION("if(ISBLANK(A755),, if('RHS INPUT'!E755=1,CONCATENATE(CHAR(34),To_Text('RHS INPUT'!C755),CHAR(34),CHAR(44)),""""))"),"")</f>
        <v/>
      </c>
      <c r="F755" s="28" t="str">
        <f>IF(isblank(A755) ,Concatenate("&gt; ",'RHS INPUT'!A755) , if('RHS INPUT'!F755=1,CONCATENATE(round('RHS INPUT'!N755),Char(44)," ",'RHS INPUT'!C755),""))</f>
        <v/>
      </c>
    </row>
    <row r="756" ht="12.0" customHeight="1">
      <c r="A756" s="1" t="str">
        <f>IFERROR(__xludf.DUMMYFUNCTION("if(ISBLANK('RHS INPUT'!C756),,CONCATENATE(CHAR(34),To_Text('RHS INPUT'!C756),CHAR(34),CHAR(44)))"),"""Exile_Bike_QuadBike_Fia"",")</f>
        <v>"Exile_Bike_QuadBike_Fia",</v>
      </c>
      <c r="B756" s="18" t="str">
        <f>if(isblank('RHS INPUT'!A756),,CONCATENATE("/*  ",'RHS INPUT'!A756,"  */"))</f>
        <v/>
      </c>
      <c r="C756" s="22" t="str">
        <f>if(isblank(A756),,if('RHS INPUT'!D756=1,Concatenate("class ",'RHS INPUT'!C756),))</f>
        <v>class Exile_Bike_QuadBike_Fia</v>
      </c>
      <c r="D756" s="27" t="str">
        <f>if(ISBLANK(A756),,if('RHS INPUT'!D756=1,CONCATENATE("{quality = ",'RHS INPUT'!G756,"; price = ",Round('RHS INPUT'!M756),";};"),""))</f>
        <v>{quality = 1; price = 2500;};</v>
      </c>
      <c r="E756" t="str">
        <f>IFERROR(__xludf.DUMMYFUNCTION("if(ISBLANK(A756),, if('RHS INPUT'!E756=1,CONCATENATE(CHAR(34),To_Text('RHS INPUT'!C756),CHAR(34),CHAR(44)),""""))"),"")</f>
        <v/>
      </c>
      <c r="F756" s="28" t="str">
        <f>IF(isblank(A756) ,Concatenate("&gt; ",'RHS INPUT'!A756) , if('RHS INPUT'!F756=1,CONCATENATE(round('RHS INPUT'!N756),Char(44)," ",'RHS INPUT'!C756),""))</f>
        <v/>
      </c>
    </row>
    <row r="757" ht="12.0" customHeight="1">
      <c r="A757" s="1" t="str">
        <f>IFERROR(__xludf.DUMMYFUNCTION("if(ISBLANK('RHS INPUT'!C757),,CONCATENATE(CHAR(34),To_Text('RHS INPUT'!C757),CHAR(34),CHAR(44)))"),"""Exile_Bike_QuadBike_Guerilla01"",")</f>
        <v>"Exile_Bike_QuadBike_Guerilla01",</v>
      </c>
      <c r="B757" s="18" t="str">
        <f>if(isblank('RHS INPUT'!A757),,CONCATENATE("/*  ",'RHS INPUT'!A757,"  */"))</f>
        <v/>
      </c>
      <c r="C757" s="22" t="str">
        <f>if(isblank(A757),,if('RHS INPUT'!D757=1,Concatenate("class ",'RHS INPUT'!C757),))</f>
        <v>class Exile_Bike_QuadBike_Guerilla01</v>
      </c>
      <c r="D757" s="27" t="str">
        <f>if(ISBLANK(A757),,if('RHS INPUT'!D757=1,CONCATENATE("{quality = ",'RHS INPUT'!G757,"; price = ",Round('RHS INPUT'!M757),";};"),""))</f>
        <v>{quality = 1; price = 2500;};</v>
      </c>
      <c r="E757" t="str">
        <f>IFERROR(__xludf.DUMMYFUNCTION("if(ISBLANK(A757),, if('RHS INPUT'!E757=1,CONCATENATE(CHAR(34),To_Text('RHS INPUT'!C757),CHAR(34),CHAR(44)),""""))"),"")</f>
        <v/>
      </c>
      <c r="F757" s="28" t="str">
        <f>IF(isblank(A757) ,Concatenate("&gt; ",'RHS INPUT'!A757) , if('RHS INPUT'!F757=1,CONCATENATE(round('RHS INPUT'!N757),Char(44)," ",'RHS INPUT'!C757),""))</f>
        <v/>
      </c>
    </row>
    <row r="758" ht="12.0" customHeight="1">
      <c r="A758" s="1" t="str">
        <f>IFERROR(__xludf.DUMMYFUNCTION("if(ISBLANK('RHS INPUT'!C758),,CONCATENATE(CHAR(34),To_Text('RHS INPUT'!C758),CHAR(34),CHAR(44)))"),"""Exile_Bike_QuadBike_Guerilla02"",")</f>
        <v>"Exile_Bike_QuadBike_Guerilla02",</v>
      </c>
      <c r="B758" s="18" t="str">
        <f>if(isblank('RHS INPUT'!A758),,CONCATENATE("/*  ",'RHS INPUT'!A758,"  */"))</f>
        <v/>
      </c>
      <c r="C758" s="22" t="str">
        <f>if(isblank(A758),,if('RHS INPUT'!D758=1,Concatenate("class ",'RHS INPUT'!C758),))</f>
        <v>class Exile_Bike_QuadBike_Guerilla02</v>
      </c>
      <c r="D758" s="27" t="str">
        <f>if(ISBLANK(A758),,if('RHS INPUT'!D758=1,CONCATENATE("{quality = ",'RHS INPUT'!G758,"; price = ",Round('RHS INPUT'!M758),";};"),""))</f>
        <v>{quality = 1; price = 2500;};</v>
      </c>
      <c r="E758" t="str">
        <f>IFERROR(__xludf.DUMMYFUNCTION("if(ISBLANK(A758),, if('RHS INPUT'!E758=1,CONCATENATE(CHAR(34),To_Text('RHS INPUT'!C758),CHAR(34),CHAR(44)),""""))"),"")</f>
        <v/>
      </c>
      <c r="F758" s="28" t="str">
        <f>IF(isblank(A758) ,Concatenate("&gt; ",'RHS INPUT'!A758) , if('RHS INPUT'!F758=1,CONCATENATE(round('RHS INPUT'!N758),Char(44)," ",'RHS INPUT'!C758),""))</f>
        <v/>
      </c>
    </row>
    <row r="759" ht="12.0" customHeight="1">
      <c r="A759" s="1" t="str">
        <f>IFERROR(__xludf.DUMMYFUNCTION("if(ISBLANK('RHS INPUT'!C759),,CONCATENATE(CHAR(34),To_Text('RHS INPUT'!C759),CHAR(34),CHAR(44)))"),"""Exile_Car_Lada_Green"",")</f>
        <v>"Exile_Car_Lada_Green",</v>
      </c>
      <c r="B759" s="18" t="str">
        <f>if(isblank('RHS INPUT'!A759),,CONCATENATE("/*  ",'RHS INPUT'!A759,"  */"))</f>
        <v/>
      </c>
      <c r="C759" s="22" t="str">
        <f>if(isblank(A759),,if('RHS INPUT'!D759=1,Concatenate("class ",'RHS INPUT'!C759),))</f>
        <v>class Exile_Car_Lada_Green</v>
      </c>
      <c r="D759" s="27" t="str">
        <f>if(ISBLANK(A759),,if('RHS INPUT'!D759=1,CONCATENATE("{quality = ",'RHS INPUT'!G759,"; price = ",Round('RHS INPUT'!M759),";};"),""))</f>
        <v>{quality = 1; price = 5000;};</v>
      </c>
      <c r="E759" t="str">
        <f>IFERROR(__xludf.DUMMYFUNCTION("if(ISBLANK(A759),, if('RHS INPUT'!E759=1,CONCATENATE(CHAR(34),To_Text('RHS INPUT'!C759),CHAR(34),CHAR(44)),""""))"),"""Exile_Car_Lada_Green"",")</f>
        <v>"Exile_Car_Lada_Green",</v>
      </c>
      <c r="F759" s="28" t="str">
        <f>IF(isblank(A759) ,Concatenate("&gt; ",'RHS INPUT'!A759) , if('RHS INPUT'!F759=1,CONCATENATE(round('RHS INPUT'!N759),Char(44)," ",'RHS INPUT'!C759),""))</f>
        <v/>
      </c>
    </row>
    <row r="760" ht="12.0" customHeight="1">
      <c r="A760" s="1" t="str">
        <f>IFERROR(__xludf.DUMMYFUNCTION("if(ISBLANK('RHS INPUT'!C760),,CONCATENATE(CHAR(34),To_Text('RHS INPUT'!C760),CHAR(34),CHAR(44)))"),"""Exile_Car_Lada_Taxi"",")</f>
        <v>"Exile_Car_Lada_Taxi",</v>
      </c>
      <c r="B760" s="18" t="str">
        <f>if(isblank('RHS INPUT'!A760),,CONCATENATE("/*  ",'RHS INPUT'!A760,"  */"))</f>
        <v/>
      </c>
      <c r="C760" s="22" t="str">
        <f>if(isblank(A760),,if('RHS INPUT'!D760=1,Concatenate("class ",'RHS INPUT'!C760),))</f>
        <v>class Exile_Car_Lada_Taxi</v>
      </c>
      <c r="D760" s="27" t="str">
        <f>if(ISBLANK(A760),,if('RHS INPUT'!D760=1,CONCATENATE("{quality = ",'RHS INPUT'!G760,"; price = ",Round('RHS INPUT'!M760),";};"),""))</f>
        <v>{quality = 1; price = 5000;};</v>
      </c>
      <c r="E760" t="str">
        <f>IFERROR(__xludf.DUMMYFUNCTION("if(ISBLANK(A760),, if('RHS INPUT'!E760=1,CONCATENATE(CHAR(34),To_Text('RHS INPUT'!C760),CHAR(34),CHAR(44)),""""))"),"")</f>
        <v/>
      </c>
      <c r="F760" s="28" t="str">
        <f>IF(isblank(A760) ,Concatenate("&gt; ",'RHS INPUT'!A760) , if('RHS INPUT'!F760=1,CONCATENATE(round('RHS INPUT'!N760),Char(44)," ",'RHS INPUT'!C760),""))</f>
        <v/>
      </c>
    </row>
    <row r="761" ht="12.0" customHeight="1">
      <c r="A761" s="1" t="str">
        <f>IFERROR(__xludf.DUMMYFUNCTION("if(ISBLANK('RHS INPUT'!C761),,CONCATENATE(CHAR(34),To_Text('RHS INPUT'!C761),CHAR(34),CHAR(44)))"),"""Exile_Car_Lada_Red"",")</f>
        <v>"Exile_Car_Lada_Red",</v>
      </c>
      <c r="B761" s="18" t="str">
        <f>if(isblank('RHS INPUT'!A761),,CONCATENATE("/*  ",'RHS INPUT'!A761,"  */"))</f>
        <v/>
      </c>
      <c r="C761" s="22" t="str">
        <f>if(isblank(A761),,if('RHS INPUT'!D761=1,Concatenate("class ",'RHS INPUT'!C761),))</f>
        <v>class Exile_Car_Lada_Red</v>
      </c>
      <c r="D761" s="27" t="str">
        <f>if(ISBLANK(A761),,if('RHS INPUT'!D761=1,CONCATENATE("{quality = ",'RHS INPUT'!G761,"; price = ",Round('RHS INPUT'!M761),";};"),""))</f>
        <v>{quality = 1; price = 5000;};</v>
      </c>
      <c r="E761" t="str">
        <f>IFERROR(__xludf.DUMMYFUNCTION("if(ISBLANK(A761),, if('RHS INPUT'!E761=1,CONCATENATE(CHAR(34),To_Text('RHS INPUT'!C761),CHAR(34),CHAR(44)),""""))"),"")</f>
        <v/>
      </c>
      <c r="F761" s="28" t="str">
        <f>IF(isblank(A761) ,Concatenate("&gt; ",'RHS INPUT'!A761) , if('RHS INPUT'!F761=1,CONCATENATE(round('RHS INPUT'!N761),Char(44)," ",'RHS INPUT'!C761),""))</f>
        <v/>
      </c>
    </row>
    <row r="762" ht="12.0" customHeight="1">
      <c r="A762" s="1" t="str">
        <f>IFERROR(__xludf.DUMMYFUNCTION("if(ISBLANK('RHS INPUT'!C762),,CONCATENATE(CHAR(34),To_Text('RHS INPUT'!C762),CHAR(34),CHAR(44)))"),"""Exile_Car_Lada_White"",")</f>
        <v>"Exile_Car_Lada_White",</v>
      </c>
      <c r="B762" s="18" t="str">
        <f>if(isblank('RHS INPUT'!A762),,CONCATENATE("/*  ",'RHS INPUT'!A762,"  */"))</f>
        <v/>
      </c>
      <c r="C762" s="22" t="str">
        <f>if(isblank(A762),,if('RHS INPUT'!D762=1,Concatenate("class ",'RHS INPUT'!C762),))</f>
        <v>class Exile_Car_Lada_White</v>
      </c>
      <c r="D762" s="27" t="str">
        <f>if(ISBLANK(A762),,if('RHS INPUT'!D762=1,CONCATENATE("{quality = ",'RHS INPUT'!G762,"; price = ",Round('RHS INPUT'!M762),";};"),""))</f>
        <v>{quality = 1; price = 5000;};</v>
      </c>
      <c r="E762" t="str">
        <f>IFERROR(__xludf.DUMMYFUNCTION("if(ISBLANK(A762),, if('RHS INPUT'!E762=1,CONCATENATE(CHAR(34),To_Text('RHS INPUT'!C762),CHAR(34),CHAR(44)),""""))"),"")</f>
        <v/>
      </c>
      <c r="F762" s="28" t="str">
        <f>IF(isblank(A762) ,Concatenate("&gt; ",'RHS INPUT'!A762) , if('RHS INPUT'!F762=1,CONCATENATE(round('RHS INPUT'!N762),Char(44)," ",'RHS INPUT'!C762),""))</f>
        <v/>
      </c>
    </row>
    <row r="763" ht="12.0" customHeight="1">
      <c r="A763" s="1" t="str">
        <f>IFERROR(__xludf.DUMMYFUNCTION("if(ISBLANK('RHS INPUT'!C763),,CONCATENATE(CHAR(34),To_Text('RHS INPUT'!C763),CHAR(34),CHAR(44)))"),"""Exile_Car_Lada_Hipster"",")</f>
        <v>"Exile_Car_Lada_Hipster",</v>
      </c>
      <c r="B763" s="18" t="str">
        <f>if(isblank('RHS INPUT'!A763),,CONCATENATE("/*  ",'RHS INPUT'!A763,"  */"))</f>
        <v/>
      </c>
      <c r="C763" s="22" t="str">
        <f>if(isblank(A763),,if('RHS INPUT'!D763=1,Concatenate("class ",'RHS INPUT'!C763),))</f>
        <v>class Exile_Car_Lada_Hipster</v>
      </c>
      <c r="D763" s="27" t="str">
        <f>if(ISBLANK(A763),,if('RHS INPUT'!D763=1,CONCATENATE("{quality = ",'RHS INPUT'!G763,"; price = ",Round('RHS INPUT'!M763),";};"),""))</f>
        <v>{quality = 1; price = 5000;};</v>
      </c>
      <c r="E763" t="str">
        <f>IFERROR(__xludf.DUMMYFUNCTION("if(ISBLANK(A763),, if('RHS INPUT'!E763=1,CONCATENATE(CHAR(34),To_Text('RHS INPUT'!C763),CHAR(34),CHAR(44)),""""))"),"")</f>
        <v/>
      </c>
      <c r="F763" s="28" t="str">
        <f>IF(isblank(A763) ,Concatenate("&gt; ",'RHS INPUT'!A763) , if('RHS INPUT'!F763=1,CONCATENATE(round('RHS INPUT'!N763),Char(44)," ",'RHS INPUT'!C763),""))</f>
        <v/>
      </c>
    </row>
    <row r="764" ht="12.0" customHeight="1">
      <c r="A764" s="1" t="str">
        <f>IFERROR(__xludf.DUMMYFUNCTION("if(ISBLANK('RHS INPUT'!C764),,CONCATENATE(CHAR(34),To_Text('RHS INPUT'!C764),CHAR(34),CHAR(44)))"),"""Exile_Car_Volha_White"",")</f>
        <v>"Exile_Car_Volha_White",</v>
      </c>
      <c r="B764" s="18" t="str">
        <f>if(isblank('RHS INPUT'!A764),,CONCATENATE("/*  ",'RHS INPUT'!A764,"  */"))</f>
        <v/>
      </c>
      <c r="C764" s="22" t="str">
        <f>if(isblank(A764),,if('RHS INPUT'!D764=1,Concatenate("class ",'RHS INPUT'!C764),))</f>
        <v>class Exile_Car_Volha_White</v>
      </c>
      <c r="D764" s="27" t="str">
        <f>if(ISBLANK(A764),,if('RHS INPUT'!D764=1,CONCATENATE("{quality = ",'RHS INPUT'!G764,"; price = ",Round('RHS INPUT'!M764),";};"),""))</f>
        <v>{quality = 1; price = 5000;};</v>
      </c>
      <c r="E764" t="str">
        <f>IFERROR(__xludf.DUMMYFUNCTION("if(ISBLANK(A764),, if('RHS INPUT'!E764=1,CONCATENATE(CHAR(34),To_Text('RHS INPUT'!C764),CHAR(34),CHAR(44)),""""))"),"""Exile_Car_Volha_White"",")</f>
        <v>"Exile_Car_Volha_White",</v>
      </c>
      <c r="F764" s="28" t="str">
        <f>IF(isblank(A764) ,Concatenate("&gt; ",'RHS INPUT'!A764) , if('RHS INPUT'!F764=1,CONCATENATE(round('RHS INPUT'!N764),Char(44)," ",'RHS INPUT'!C764),""))</f>
        <v/>
      </c>
    </row>
    <row r="765" ht="12.0" customHeight="1">
      <c r="A765" s="1" t="str">
        <f>IFERROR(__xludf.DUMMYFUNCTION("if(ISBLANK('RHS INPUT'!C765),,CONCATENATE(CHAR(34),To_Text('RHS INPUT'!C765),CHAR(34),CHAR(44)))"),"""Exile_Car_Volha_Blue"",")</f>
        <v>"Exile_Car_Volha_Blue",</v>
      </c>
      <c r="B765" s="18" t="str">
        <f>if(isblank('RHS INPUT'!A765),,CONCATENATE("/*  ",'RHS INPUT'!A765,"  */"))</f>
        <v/>
      </c>
      <c r="C765" s="22" t="str">
        <f>if(isblank(A765),,if('RHS INPUT'!D765=1,Concatenate("class ",'RHS INPUT'!C765),))</f>
        <v>class Exile_Car_Volha_Blue</v>
      </c>
      <c r="D765" s="27" t="str">
        <f>if(ISBLANK(A765),,if('RHS INPUT'!D765=1,CONCATENATE("{quality = ",'RHS INPUT'!G765,"; price = ",Round('RHS INPUT'!M765),";};"),""))</f>
        <v>{quality = 1; price = 5000;};</v>
      </c>
      <c r="E765" t="str">
        <f>IFERROR(__xludf.DUMMYFUNCTION("if(ISBLANK(A765),, if('RHS INPUT'!E765=1,CONCATENATE(CHAR(34),To_Text('RHS INPUT'!C765),CHAR(34),CHAR(44)),""""))"),"")</f>
        <v/>
      </c>
      <c r="F765" s="28" t="str">
        <f>IF(isblank(A765) ,Concatenate("&gt; ",'RHS INPUT'!A765) , if('RHS INPUT'!F765=1,CONCATENATE(round('RHS INPUT'!N765),Char(44)," ",'RHS INPUT'!C765),""))</f>
        <v/>
      </c>
    </row>
    <row r="766" ht="12.0" customHeight="1">
      <c r="A766" s="1" t="str">
        <f>IFERROR(__xludf.DUMMYFUNCTION("if(ISBLANK('RHS INPUT'!C766),,CONCATENATE(CHAR(34),To_Text('RHS INPUT'!C766),CHAR(34),CHAR(44)))"),"""Exile_Car_Volha_Black"",")</f>
        <v>"Exile_Car_Volha_Black",</v>
      </c>
      <c r="B766" s="18" t="str">
        <f>if(isblank('RHS INPUT'!A766),,CONCATENATE("/*  ",'RHS INPUT'!A766,"  */"))</f>
        <v/>
      </c>
      <c r="C766" s="22" t="str">
        <f>if(isblank(A766),,if('RHS INPUT'!D766=1,Concatenate("class ",'RHS INPUT'!C766),))</f>
        <v>class Exile_Car_Volha_Black</v>
      </c>
      <c r="D766" s="27" t="str">
        <f>if(ISBLANK(A766),,if('RHS INPUT'!D766=1,CONCATENATE("{quality = ",'RHS INPUT'!G766,"; price = ",Round('RHS INPUT'!M766),";};"),""))</f>
        <v>{quality = 1; price = 5000;};</v>
      </c>
      <c r="E766" t="str">
        <f>IFERROR(__xludf.DUMMYFUNCTION("if(ISBLANK(A766),, if('RHS INPUT'!E766=1,CONCATENATE(CHAR(34),To_Text('RHS INPUT'!C766),CHAR(34),CHAR(44)),""""))"),"")</f>
        <v/>
      </c>
      <c r="F766" s="28" t="str">
        <f>IF(isblank(A766) ,Concatenate("&gt; ",'RHS INPUT'!A766) , if('RHS INPUT'!F766=1,CONCATENATE(round('RHS INPUT'!N766),Char(44)," ",'RHS INPUT'!C766),""))</f>
        <v/>
      </c>
    </row>
    <row r="767" ht="12.0" customHeight="1">
      <c r="A767" s="1" t="str">
        <f>IFERROR(__xludf.DUMMYFUNCTION("if(ISBLANK('RHS INPUT'!C767),,CONCATENATE(CHAR(34),To_Text('RHS INPUT'!C767),CHAR(34),CHAR(44)))"),"""Exile_Car_Hatchback_Rusty1"",")</f>
        <v>"Exile_Car_Hatchback_Rusty1",</v>
      </c>
      <c r="B767" s="18" t="str">
        <f>if(isblank('RHS INPUT'!A767),,CONCATENATE("/*  ",'RHS INPUT'!A767,"  */"))</f>
        <v/>
      </c>
      <c r="C767" s="22" t="str">
        <f>if(isblank(A767),,if('RHS INPUT'!D767=1,Concatenate("class ",'RHS INPUT'!C767),))</f>
        <v>class Exile_Car_Hatchback_Rusty1</v>
      </c>
      <c r="D767" s="27" t="str">
        <f>if(ISBLANK(A767),,if('RHS INPUT'!D767=1,CONCATENATE("{quality = ",'RHS INPUT'!G767,"; price = ",Round('RHS INPUT'!M767),";};"),""))</f>
        <v>{quality = 1; price = 8000;};</v>
      </c>
      <c r="E767" t="str">
        <f>IFERROR(__xludf.DUMMYFUNCTION("if(ISBLANK(A767),, if('RHS INPUT'!E767=1,CONCATENATE(CHAR(34),To_Text('RHS INPUT'!C767),CHAR(34),CHAR(44)),""""))"),"""Exile_Car_Hatchback_Rusty1"",")</f>
        <v>"Exile_Car_Hatchback_Rusty1",</v>
      </c>
      <c r="F767" s="28" t="str">
        <f>IF(isblank(A767) ,Concatenate("&gt; ",'RHS INPUT'!A767) , if('RHS INPUT'!F767=1,CONCATENATE(round('RHS INPUT'!N767),Char(44)," ",'RHS INPUT'!C767),""))</f>
        <v/>
      </c>
    </row>
    <row r="768" ht="12.0" customHeight="1">
      <c r="A768" s="1" t="str">
        <f>IFERROR(__xludf.DUMMYFUNCTION("if(ISBLANK('RHS INPUT'!C768),,CONCATENATE(CHAR(34),To_Text('RHS INPUT'!C768),CHAR(34),CHAR(44)))"),"""Exile_Car_Hatchback_Rusty2"",")</f>
        <v>"Exile_Car_Hatchback_Rusty2",</v>
      </c>
      <c r="B768" s="18" t="str">
        <f>if(isblank('RHS INPUT'!A768),,CONCATENATE("/*  ",'RHS INPUT'!A768,"  */"))</f>
        <v/>
      </c>
      <c r="C768" s="22" t="str">
        <f>if(isblank(A768),,if('RHS INPUT'!D768=1,Concatenate("class ",'RHS INPUT'!C768),))</f>
        <v>class Exile_Car_Hatchback_Rusty2</v>
      </c>
      <c r="D768" s="27" t="str">
        <f>if(ISBLANK(A768),,if('RHS INPUT'!D768=1,CONCATENATE("{quality = ",'RHS INPUT'!G768,"; price = ",Round('RHS INPUT'!M768),";};"),""))</f>
        <v>{quality = 1; price = 8000;};</v>
      </c>
      <c r="E768" t="str">
        <f>IFERROR(__xludf.DUMMYFUNCTION("if(ISBLANK(A768),, if('RHS INPUT'!E768=1,CONCATENATE(CHAR(34),To_Text('RHS INPUT'!C768),CHAR(34),CHAR(44)),""""))"),"""Exile_Car_Hatchback_Rusty2"",")</f>
        <v>"Exile_Car_Hatchback_Rusty2",</v>
      </c>
      <c r="F768" s="28" t="str">
        <f>IF(isblank(A768) ,Concatenate("&gt; ",'RHS INPUT'!A768) , if('RHS INPUT'!F768=1,CONCATENATE(round('RHS INPUT'!N768),Char(44)," ",'RHS INPUT'!C768),""))</f>
        <v/>
      </c>
    </row>
    <row r="769" ht="12.0" customHeight="1">
      <c r="A769" s="1" t="str">
        <f>IFERROR(__xludf.DUMMYFUNCTION("if(ISBLANK('RHS INPUT'!C769),,CONCATENATE(CHAR(34),To_Text('RHS INPUT'!C769),CHAR(34),CHAR(44)))"),"""Exile_Car_Hatchback_Rusty3"",")</f>
        <v>"Exile_Car_Hatchback_Rusty3",</v>
      </c>
      <c r="B769" s="18" t="str">
        <f>if(isblank('RHS INPUT'!A769),,CONCATENATE("/*  ",'RHS INPUT'!A769,"  */"))</f>
        <v/>
      </c>
      <c r="C769" s="22" t="str">
        <f>if(isblank(A769),,if('RHS INPUT'!D769=1,Concatenate("class ",'RHS INPUT'!C769),))</f>
        <v>class Exile_Car_Hatchback_Rusty3</v>
      </c>
      <c r="D769" s="27" t="str">
        <f>if(ISBLANK(A769),,if('RHS INPUT'!D769=1,CONCATENATE("{quality = ",'RHS INPUT'!G769,"; price = ",Round('RHS INPUT'!M769),";};"),""))</f>
        <v>{quality = 1; price = 8000;};</v>
      </c>
      <c r="E769" t="str">
        <f>IFERROR(__xludf.DUMMYFUNCTION("if(ISBLANK(A769),, if('RHS INPUT'!E769=1,CONCATENATE(CHAR(34),To_Text('RHS INPUT'!C769),CHAR(34),CHAR(44)),""""))"),"""Exile_Car_Hatchback_Rusty3"",")</f>
        <v>"Exile_Car_Hatchback_Rusty3",</v>
      </c>
      <c r="F769" s="28" t="str">
        <f>IF(isblank(A769) ,Concatenate("&gt; ",'RHS INPUT'!A769) , if('RHS INPUT'!F769=1,CONCATENATE(round('RHS INPUT'!N769),Char(44)," ",'RHS INPUT'!C769),""))</f>
        <v/>
      </c>
    </row>
    <row r="770" ht="12.0" customHeight="1">
      <c r="A770" s="1" t="str">
        <f>IFERROR(__xludf.DUMMYFUNCTION("if(ISBLANK('RHS INPUT'!C770),,CONCATENATE(CHAR(34),To_Text('RHS INPUT'!C770),CHAR(34),CHAR(44)))"),"""Exile_Car_Hatchback_Beige"",")</f>
        <v>"Exile_Car_Hatchback_Beige",</v>
      </c>
      <c r="B770" s="18" t="str">
        <f>if(isblank('RHS INPUT'!A770),,CONCATENATE("/*  ",'RHS INPUT'!A770,"  */"))</f>
        <v/>
      </c>
      <c r="C770" s="22" t="str">
        <f>if(isblank(A770),,if('RHS INPUT'!D770=1,Concatenate("class ",'RHS INPUT'!C770),))</f>
        <v>class Exile_Car_Hatchback_Beige</v>
      </c>
      <c r="D770" s="27" t="str">
        <f>if(ISBLANK(A770),,if('RHS INPUT'!D770=1,CONCATENATE("{quality = ",'RHS INPUT'!G770,"; price = ",Round('RHS INPUT'!M770),";};"),""))</f>
        <v>{quality = 1; price = 8000;};</v>
      </c>
      <c r="E770" t="str">
        <f>IFERROR(__xludf.DUMMYFUNCTION("if(ISBLANK(A770),, if('RHS INPUT'!E770=1,CONCATENATE(CHAR(34),To_Text('RHS INPUT'!C770),CHAR(34),CHAR(44)),""""))"),"")</f>
        <v/>
      </c>
      <c r="F770" s="28" t="str">
        <f>IF(isblank(A770) ,Concatenate("&gt; ",'RHS INPUT'!A770) , if('RHS INPUT'!F770=1,CONCATENATE(round('RHS INPUT'!N770),Char(44)," ",'RHS INPUT'!C770),""))</f>
        <v/>
      </c>
    </row>
    <row r="771" ht="12.0" customHeight="1">
      <c r="A771" s="1" t="str">
        <f>IFERROR(__xludf.DUMMYFUNCTION("if(ISBLANK('RHS INPUT'!C771),,CONCATENATE(CHAR(34),To_Text('RHS INPUT'!C771),CHAR(34),CHAR(44)))"),"""Exile_Car_Hatchback_Green"",")</f>
        <v>"Exile_Car_Hatchback_Green",</v>
      </c>
      <c r="B771" s="18" t="str">
        <f>if(isblank('RHS INPUT'!A771),,CONCATENATE("/*  ",'RHS INPUT'!A771,"  */"))</f>
        <v/>
      </c>
      <c r="C771" s="22" t="str">
        <f>if(isblank(A771),,if('RHS INPUT'!D771=1,Concatenate("class ",'RHS INPUT'!C771),))</f>
        <v>class Exile_Car_Hatchback_Green</v>
      </c>
      <c r="D771" s="27" t="str">
        <f>if(ISBLANK(A771),,if('RHS INPUT'!D771=1,CONCATENATE("{quality = ",'RHS INPUT'!G771,"; price = ",Round('RHS INPUT'!M771),";};"),""))</f>
        <v>{quality = 1; price = 8000;};</v>
      </c>
      <c r="E771" t="str">
        <f>IFERROR(__xludf.DUMMYFUNCTION("if(ISBLANK(A771),, if('RHS INPUT'!E771=1,CONCATENATE(CHAR(34),To_Text('RHS INPUT'!C771),CHAR(34),CHAR(44)),""""))"),"")</f>
        <v/>
      </c>
      <c r="F771" s="28" t="str">
        <f>IF(isblank(A771) ,Concatenate("&gt; ",'RHS INPUT'!A771) , if('RHS INPUT'!F771=1,CONCATENATE(round('RHS INPUT'!N771),Char(44)," ",'RHS INPUT'!C771),""))</f>
        <v/>
      </c>
    </row>
    <row r="772" ht="12.0" customHeight="1">
      <c r="A772" s="1" t="str">
        <f>IFERROR(__xludf.DUMMYFUNCTION("if(ISBLANK('RHS INPUT'!C772),,CONCATENATE(CHAR(34),To_Text('RHS INPUT'!C772),CHAR(34),CHAR(44)))"),"""Exile_Car_Hatchback_Blue"",")</f>
        <v>"Exile_Car_Hatchback_Blue",</v>
      </c>
      <c r="B772" s="18" t="str">
        <f>if(isblank('RHS INPUT'!A772),,CONCATENATE("/*  ",'RHS INPUT'!A772,"  */"))</f>
        <v/>
      </c>
      <c r="C772" s="22" t="str">
        <f>if(isblank(A772),,if('RHS INPUT'!D772=1,Concatenate("class ",'RHS INPUT'!C772),))</f>
        <v>class Exile_Car_Hatchback_Blue</v>
      </c>
      <c r="D772" s="27" t="str">
        <f>if(ISBLANK(A772),,if('RHS INPUT'!D772=1,CONCATENATE("{quality = ",'RHS INPUT'!G772,"; price = ",Round('RHS INPUT'!M772),";};"),""))</f>
        <v>{quality = 1; price = 8000;};</v>
      </c>
      <c r="E772" t="str">
        <f>IFERROR(__xludf.DUMMYFUNCTION("if(ISBLANK(A772),, if('RHS INPUT'!E772=1,CONCATENATE(CHAR(34),To_Text('RHS INPUT'!C772),CHAR(34),CHAR(44)),""""))"),"")</f>
        <v/>
      </c>
      <c r="F772" s="28" t="str">
        <f>IF(isblank(A772) ,Concatenate("&gt; ",'RHS INPUT'!A772) , if('RHS INPUT'!F772=1,CONCATENATE(round('RHS INPUT'!N772),Char(44)," ",'RHS INPUT'!C772),""))</f>
        <v/>
      </c>
    </row>
    <row r="773" ht="12.0" customHeight="1">
      <c r="A773" s="1" t="str">
        <f>IFERROR(__xludf.DUMMYFUNCTION("if(ISBLANK('RHS INPUT'!C773),,CONCATENATE(CHAR(34),To_Text('RHS INPUT'!C773),CHAR(34),CHAR(44)))"),"""Exile_Car_Hatchback_BlueCustom"",")</f>
        <v>"Exile_Car_Hatchback_BlueCustom",</v>
      </c>
      <c r="B773" s="18" t="str">
        <f>if(isblank('RHS INPUT'!A773),,CONCATENATE("/*  ",'RHS INPUT'!A773,"  */"))</f>
        <v/>
      </c>
      <c r="C773" s="22" t="str">
        <f>if(isblank(A773),,if('RHS INPUT'!D773=1,Concatenate("class ",'RHS INPUT'!C773),))</f>
        <v>class Exile_Car_Hatchback_BlueCustom</v>
      </c>
      <c r="D773" s="27" t="str">
        <f>if(ISBLANK(A773),,if('RHS INPUT'!D773=1,CONCATENATE("{quality = ",'RHS INPUT'!G773,"; price = ",Round('RHS INPUT'!M773),";};"),""))</f>
        <v>{quality = 1; price = 8000;};</v>
      </c>
      <c r="E773" t="str">
        <f>IFERROR(__xludf.DUMMYFUNCTION("if(ISBLANK(A773),, if('RHS INPUT'!E773=1,CONCATENATE(CHAR(34),To_Text('RHS INPUT'!C773),CHAR(34),CHAR(44)),""""))"),"")</f>
        <v/>
      </c>
      <c r="F773" s="28" t="str">
        <f>IF(isblank(A773) ,Concatenate("&gt; ",'RHS INPUT'!A773) , if('RHS INPUT'!F773=1,CONCATENATE(round('RHS INPUT'!N773),Char(44)," ",'RHS INPUT'!C773),""))</f>
        <v/>
      </c>
    </row>
    <row r="774" ht="12.0" customHeight="1">
      <c r="A774" s="1" t="str">
        <f>IFERROR(__xludf.DUMMYFUNCTION("if(ISBLANK('RHS INPUT'!C774),,CONCATENATE(CHAR(34),To_Text('RHS INPUT'!C774),CHAR(34),CHAR(44)))"),"""Exile_Car_Hatchback_BeigeCustom"",")</f>
        <v>"Exile_Car_Hatchback_BeigeCustom",</v>
      </c>
      <c r="B774" s="18" t="str">
        <f>if(isblank('RHS INPUT'!A774),,CONCATENATE("/*  ",'RHS INPUT'!A774,"  */"))</f>
        <v/>
      </c>
      <c r="C774" s="22" t="str">
        <f>if(isblank(A774),,if('RHS INPUT'!D774=1,Concatenate("class ",'RHS INPUT'!C774),))</f>
        <v>class Exile_Car_Hatchback_BeigeCustom</v>
      </c>
      <c r="D774" s="27" t="str">
        <f>if(ISBLANK(A774),,if('RHS INPUT'!D774=1,CONCATENATE("{quality = ",'RHS INPUT'!G774,"; price = ",Round('RHS INPUT'!M774),";};"),""))</f>
        <v>{quality = 1; price = 8000;};</v>
      </c>
      <c r="E774" t="str">
        <f>IFERROR(__xludf.DUMMYFUNCTION("if(ISBLANK(A774),, if('RHS INPUT'!E774=1,CONCATENATE(CHAR(34),To_Text('RHS INPUT'!C774),CHAR(34),CHAR(44)),""""))"),"")</f>
        <v/>
      </c>
      <c r="F774" s="28" t="str">
        <f>IF(isblank(A774) ,Concatenate("&gt; ",'RHS INPUT'!A774) , if('RHS INPUT'!F774=1,CONCATENATE(round('RHS INPUT'!N774),Char(44)," ",'RHS INPUT'!C774),""))</f>
        <v/>
      </c>
    </row>
    <row r="775" ht="12.0" customHeight="1">
      <c r="A775" s="1" t="str">
        <f>IFERROR(__xludf.DUMMYFUNCTION("if(ISBLANK('RHS INPUT'!C775),,CONCATENATE(CHAR(34),To_Text('RHS INPUT'!C775),CHAR(34),CHAR(44)))"),"""Exile_Car_Hatchback_Yellow"",")</f>
        <v>"Exile_Car_Hatchback_Yellow",</v>
      </c>
      <c r="B775" s="18" t="str">
        <f>if(isblank('RHS INPUT'!A775),,CONCATENATE("/*  ",'RHS INPUT'!A775,"  */"))</f>
        <v/>
      </c>
      <c r="C775" s="22" t="str">
        <f>if(isblank(A775),,if('RHS INPUT'!D775=1,Concatenate("class ",'RHS INPUT'!C775),))</f>
        <v>class Exile_Car_Hatchback_Yellow</v>
      </c>
      <c r="D775" s="27" t="str">
        <f>if(ISBLANK(A775),,if('RHS INPUT'!D775=1,CONCATENATE("{quality = ",'RHS INPUT'!G775,"; price = ",Round('RHS INPUT'!M775),";};"),""))</f>
        <v>{quality = 1; price = 8000;};</v>
      </c>
      <c r="E775" t="str">
        <f>IFERROR(__xludf.DUMMYFUNCTION("if(ISBLANK(A775),, if('RHS INPUT'!E775=1,CONCATENATE(CHAR(34),To_Text('RHS INPUT'!C775),CHAR(34),CHAR(44)),""""))"),"")</f>
        <v/>
      </c>
      <c r="F775" s="28" t="str">
        <f>IF(isblank(A775) ,Concatenate("&gt; ",'RHS INPUT'!A775) , if('RHS INPUT'!F775=1,CONCATENATE(round('RHS INPUT'!N775),Char(44)," ",'RHS INPUT'!C775),""))</f>
        <v/>
      </c>
    </row>
    <row r="776" ht="12.0" customHeight="1">
      <c r="A776" s="1" t="str">
        <f>IFERROR(__xludf.DUMMYFUNCTION("if(ISBLANK('RHS INPUT'!C776),,CONCATENATE(CHAR(34),To_Text('RHS INPUT'!C776),CHAR(34),CHAR(44)))"),"""Exile_Car_Hatchback_Grey"",")</f>
        <v>"Exile_Car_Hatchback_Grey",</v>
      </c>
      <c r="B776" s="18" t="str">
        <f>if(isblank('RHS INPUT'!A776),,CONCATENATE("/*  ",'RHS INPUT'!A776,"  */"))</f>
        <v/>
      </c>
      <c r="C776" s="22" t="str">
        <f>if(isblank(A776),,if('RHS INPUT'!D776=1,Concatenate("class ",'RHS INPUT'!C776),))</f>
        <v>class Exile_Car_Hatchback_Grey</v>
      </c>
      <c r="D776" s="27" t="str">
        <f>if(ISBLANK(A776),,if('RHS INPUT'!D776=1,CONCATENATE("{quality = ",'RHS INPUT'!G776,"; price = ",Round('RHS INPUT'!M776),";};"),""))</f>
        <v>{quality = 1; price = 8000;};</v>
      </c>
      <c r="E776" t="str">
        <f>IFERROR(__xludf.DUMMYFUNCTION("if(ISBLANK(A776),, if('RHS INPUT'!E776=1,CONCATENATE(CHAR(34),To_Text('RHS INPUT'!C776),CHAR(34),CHAR(44)),""""))"),"")</f>
        <v/>
      </c>
      <c r="F776" s="28" t="str">
        <f>IF(isblank(A776) ,Concatenate("&gt; ",'RHS INPUT'!A776) , if('RHS INPUT'!F776=1,CONCATENATE(round('RHS INPUT'!N776),Char(44)," ",'RHS INPUT'!C776),""))</f>
        <v/>
      </c>
    </row>
    <row r="777" ht="12.0" customHeight="1">
      <c r="A777" s="1" t="str">
        <f>IFERROR(__xludf.DUMMYFUNCTION("if(ISBLANK('RHS INPUT'!C777),,CONCATENATE(CHAR(34),To_Text('RHS INPUT'!C777),CHAR(34),CHAR(44)))"),"""Exile_Car_Hatchback_Black"",")</f>
        <v>"Exile_Car_Hatchback_Black",</v>
      </c>
      <c r="B777" s="18" t="str">
        <f>if(isblank('RHS INPUT'!A777),,CONCATENATE("/*  ",'RHS INPUT'!A777,"  */"))</f>
        <v/>
      </c>
      <c r="C777" s="22" t="str">
        <f>if(isblank(A777),,if('RHS INPUT'!D777=1,Concatenate("class ",'RHS INPUT'!C777),))</f>
        <v>class Exile_Car_Hatchback_Black</v>
      </c>
      <c r="D777" s="27" t="str">
        <f>if(ISBLANK(A777),,if('RHS INPUT'!D777=1,CONCATENATE("{quality = ",'RHS INPUT'!G777,"; price = ",Round('RHS INPUT'!M777),";};"),""))</f>
        <v>{quality = 1; price = 8000;};</v>
      </c>
      <c r="E777" t="str">
        <f>IFERROR(__xludf.DUMMYFUNCTION("if(ISBLANK(A777),, if('RHS INPUT'!E777=1,CONCATENATE(CHAR(34),To_Text('RHS INPUT'!C777),CHAR(34),CHAR(44)),""""))"),"")</f>
        <v/>
      </c>
      <c r="F777" s="28" t="str">
        <f>IF(isblank(A777) ,Concatenate("&gt; ",'RHS INPUT'!A777) , if('RHS INPUT'!F777=1,CONCATENATE(round('RHS INPUT'!N777),Char(44)," ",'RHS INPUT'!C777),""))</f>
        <v/>
      </c>
    </row>
    <row r="778" ht="12.0" customHeight="1">
      <c r="A778" s="1" t="str">
        <f>IFERROR(__xludf.DUMMYFUNCTION("if(ISBLANK('RHS INPUT'!C778),,CONCATENATE(CHAR(34),To_Text('RHS INPUT'!C778),CHAR(34),CHAR(44)))"),"""Exile_Car_Hatchback_Dark"",")</f>
        <v>"Exile_Car_Hatchback_Dark",</v>
      </c>
      <c r="B778" s="18" t="str">
        <f>if(isblank('RHS INPUT'!A778),,CONCATENATE("/*  ",'RHS INPUT'!A778,"  */"))</f>
        <v/>
      </c>
      <c r="C778" s="22" t="str">
        <f>if(isblank(A778),,if('RHS INPUT'!D778=1,Concatenate("class ",'RHS INPUT'!C778),))</f>
        <v>class Exile_Car_Hatchback_Dark</v>
      </c>
      <c r="D778" s="27" t="str">
        <f>if(ISBLANK(A778),,if('RHS INPUT'!D778=1,CONCATENATE("{quality = ",'RHS INPUT'!G778,"; price = ",Round('RHS INPUT'!M778),";};"),""))</f>
        <v>{quality = 1; price = 8000;};</v>
      </c>
      <c r="E778" t="str">
        <f>IFERROR(__xludf.DUMMYFUNCTION("if(ISBLANK(A778),, if('RHS INPUT'!E778=1,CONCATENATE(CHAR(34),To_Text('RHS INPUT'!C778),CHAR(34),CHAR(44)),""""))"),"")</f>
        <v/>
      </c>
      <c r="F778" s="28" t="str">
        <f>IF(isblank(A778) ,Concatenate("&gt; ",'RHS INPUT'!A778) , if('RHS INPUT'!F778=1,CONCATENATE(round('RHS INPUT'!N778),Char(44)," ",'RHS INPUT'!C778),""))</f>
        <v/>
      </c>
    </row>
    <row r="779" ht="12.0" customHeight="1">
      <c r="A779" s="1" t="str">
        <f>IFERROR(__xludf.DUMMYFUNCTION("if(ISBLANK('RHS INPUT'!C779),,CONCATENATE(CHAR(34),To_Text('RHS INPUT'!C779),CHAR(34),CHAR(44)))"),"""Exile_Car_Hatchback_Sport_Red"",")</f>
        <v>"Exile_Car_Hatchback_Sport_Red",</v>
      </c>
      <c r="B779" s="18" t="str">
        <f>if(isblank('RHS INPUT'!A779),,CONCATENATE("/*  ",'RHS INPUT'!A779,"  */"))</f>
        <v/>
      </c>
      <c r="C779" s="22" t="str">
        <f>if(isblank(A779),,if('RHS INPUT'!D779=1,Concatenate("class ",'RHS INPUT'!C779),))</f>
        <v>class Exile_Car_Hatchback_Sport_Red</v>
      </c>
      <c r="D779" s="27" t="str">
        <f>if(ISBLANK(A779),,if('RHS INPUT'!D779=1,CONCATENATE("{quality = ",'RHS INPUT'!G779,"; price = ",Round('RHS INPUT'!M779),";};"),""))</f>
        <v>{quality = 1; price = 12000;};</v>
      </c>
      <c r="E779" t="str">
        <f>IFERROR(__xludf.DUMMYFUNCTION("if(ISBLANK(A779),, if('RHS INPUT'!E779=1,CONCATENATE(CHAR(34),To_Text('RHS INPUT'!C779),CHAR(34),CHAR(44)),""""))"),"""Exile_Car_Hatchback_Sport_Red"",")</f>
        <v>"Exile_Car_Hatchback_Sport_Red",</v>
      </c>
      <c r="F779" s="28" t="str">
        <f>IF(isblank(A779) ,Concatenate("&gt; ",'RHS INPUT'!A779) , if('RHS INPUT'!F779=1,CONCATENATE(round('RHS INPUT'!N779),Char(44)," ",'RHS INPUT'!C779),""))</f>
        <v/>
      </c>
    </row>
    <row r="780" ht="12.0" customHeight="1">
      <c r="A780" s="1" t="str">
        <f>IFERROR(__xludf.DUMMYFUNCTION("if(ISBLANK('RHS INPUT'!C780),,CONCATENATE(CHAR(34),To_Text('RHS INPUT'!C780),CHAR(34),CHAR(44)))"),"""Exile_Car_Hatchback_Sport_Blue"",")</f>
        <v>"Exile_Car_Hatchback_Sport_Blue",</v>
      </c>
      <c r="B780" s="18" t="str">
        <f>if(isblank('RHS INPUT'!A780),,CONCATENATE("/*  ",'RHS INPUT'!A780,"  */"))</f>
        <v/>
      </c>
      <c r="C780" s="22" t="str">
        <f>if(isblank(A780),,if('RHS INPUT'!D780=1,Concatenate("class ",'RHS INPUT'!C780),))</f>
        <v>class Exile_Car_Hatchback_Sport_Blue</v>
      </c>
      <c r="D780" s="27" t="str">
        <f>if(ISBLANK(A780),,if('RHS INPUT'!D780=1,CONCATENATE("{quality = ",'RHS INPUT'!G780,"; price = ",Round('RHS INPUT'!M780),";};"),""))</f>
        <v>{quality = 1; price = 12000;};</v>
      </c>
      <c r="E780" t="str">
        <f>IFERROR(__xludf.DUMMYFUNCTION("if(ISBLANK(A780),, if('RHS INPUT'!E780=1,CONCATENATE(CHAR(34),To_Text('RHS INPUT'!C780),CHAR(34),CHAR(44)),""""))"),"")</f>
        <v/>
      </c>
      <c r="F780" s="28" t="str">
        <f>IF(isblank(A780) ,Concatenate("&gt; ",'RHS INPUT'!A780) , if('RHS INPUT'!F780=1,CONCATENATE(round('RHS INPUT'!N780),Char(44)," ",'RHS INPUT'!C780),""))</f>
        <v/>
      </c>
    </row>
    <row r="781" ht="12.0" customHeight="1">
      <c r="A781" s="1" t="str">
        <f>IFERROR(__xludf.DUMMYFUNCTION("if(ISBLANK('RHS INPUT'!C781),,CONCATENATE(CHAR(34),To_Text('RHS INPUT'!C781),CHAR(34),CHAR(44)))"),"""Exile_Car_Hatchback_Sport_Orange"",")</f>
        <v>"Exile_Car_Hatchback_Sport_Orange",</v>
      </c>
      <c r="B781" s="18" t="str">
        <f>if(isblank('RHS INPUT'!A781),,CONCATENATE("/*  ",'RHS INPUT'!A781,"  */"))</f>
        <v/>
      </c>
      <c r="C781" s="22" t="str">
        <f>if(isblank(A781),,if('RHS INPUT'!D781=1,Concatenate("class ",'RHS INPUT'!C781),))</f>
        <v>class Exile_Car_Hatchback_Sport_Orange</v>
      </c>
      <c r="D781" s="27" t="str">
        <f>if(ISBLANK(A781),,if('RHS INPUT'!D781=1,CONCATENATE("{quality = ",'RHS INPUT'!G781,"; price = ",Round('RHS INPUT'!M781),";};"),""))</f>
        <v>{quality = 1; price = 12000;};</v>
      </c>
      <c r="E781" t="str">
        <f>IFERROR(__xludf.DUMMYFUNCTION("if(ISBLANK(A781),, if('RHS INPUT'!E781=1,CONCATENATE(CHAR(34),To_Text('RHS INPUT'!C781),CHAR(34),CHAR(44)),""""))"),"")</f>
        <v/>
      </c>
      <c r="F781" s="28" t="str">
        <f>IF(isblank(A781) ,Concatenate("&gt; ",'RHS INPUT'!A781) , if('RHS INPUT'!F781=1,CONCATENATE(round('RHS INPUT'!N781),Char(44)," ",'RHS INPUT'!C781),""))</f>
        <v/>
      </c>
    </row>
    <row r="782" ht="12.0" customHeight="1">
      <c r="A782" s="1" t="str">
        <f>IFERROR(__xludf.DUMMYFUNCTION("if(ISBLANK('RHS INPUT'!C782),,CONCATENATE(CHAR(34),To_Text('RHS INPUT'!C782),CHAR(34),CHAR(44)))"),"""Exile_Car_Hatchback_Sport_White"",")</f>
        <v>"Exile_Car_Hatchback_Sport_White",</v>
      </c>
      <c r="B782" s="18" t="str">
        <f>if(isblank('RHS INPUT'!A782),,CONCATENATE("/*  ",'RHS INPUT'!A782,"  */"))</f>
        <v/>
      </c>
      <c r="C782" s="22" t="str">
        <f>if(isblank(A782),,if('RHS INPUT'!D782=1,Concatenate("class ",'RHS INPUT'!C782),))</f>
        <v>class Exile_Car_Hatchback_Sport_White</v>
      </c>
      <c r="D782" s="27" t="str">
        <f>if(ISBLANK(A782),,if('RHS INPUT'!D782=1,CONCATENATE("{quality = ",'RHS INPUT'!G782,"; price = ",Round('RHS INPUT'!M782),";};"),""))</f>
        <v>{quality = 1; price = 12000;};</v>
      </c>
      <c r="E782" t="str">
        <f>IFERROR(__xludf.DUMMYFUNCTION("if(ISBLANK(A782),, if('RHS INPUT'!E782=1,CONCATENATE(CHAR(34),To_Text('RHS INPUT'!C782),CHAR(34),CHAR(44)),""""))"),"")</f>
        <v/>
      </c>
      <c r="F782" s="28" t="str">
        <f>IF(isblank(A782) ,Concatenate("&gt; ",'RHS INPUT'!A782) , if('RHS INPUT'!F782=1,CONCATENATE(round('RHS INPUT'!N782),Char(44)," ",'RHS INPUT'!C782),""))</f>
        <v/>
      </c>
    </row>
    <row r="783" ht="12.0" customHeight="1">
      <c r="A783" s="1" t="str">
        <f>IFERROR(__xludf.DUMMYFUNCTION("if(ISBLANK('RHS INPUT'!C783),,CONCATENATE(CHAR(34),To_Text('RHS INPUT'!C783),CHAR(34),CHAR(44)))"),"""Exile_Car_Hatchback_Sport_Beige"",")</f>
        <v>"Exile_Car_Hatchback_Sport_Beige",</v>
      </c>
      <c r="B783" s="18" t="str">
        <f>if(isblank('RHS INPUT'!A783),,CONCATENATE("/*  ",'RHS INPUT'!A783,"  */"))</f>
        <v/>
      </c>
      <c r="C783" s="22" t="str">
        <f>if(isblank(A783),,if('RHS INPUT'!D783=1,Concatenate("class ",'RHS INPUT'!C783),))</f>
        <v>class Exile_Car_Hatchback_Sport_Beige</v>
      </c>
      <c r="D783" s="27" t="str">
        <f>if(ISBLANK(A783),,if('RHS INPUT'!D783=1,CONCATENATE("{quality = ",'RHS INPUT'!G783,"; price = ",Round('RHS INPUT'!M783),";};"),""))</f>
        <v>{quality = 1; price = 12000;};</v>
      </c>
      <c r="E783" t="str">
        <f>IFERROR(__xludf.DUMMYFUNCTION("if(ISBLANK(A783),, if('RHS INPUT'!E783=1,CONCATENATE(CHAR(34),To_Text('RHS INPUT'!C783),CHAR(34),CHAR(44)),""""))"),"")</f>
        <v/>
      </c>
      <c r="F783" s="28" t="str">
        <f>IF(isblank(A783) ,Concatenate("&gt; ",'RHS INPUT'!A783) , if('RHS INPUT'!F783=1,CONCATENATE(round('RHS INPUT'!N783),Char(44)," ",'RHS INPUT'!C783),""))</f>
        <v/>
      </c>
    </row>
    <row r="784" ht="12.0" customHeight="1">
      <c r="A784" s="1" t="str">
        <f>IFERROR(__xludf.DUMMYFUNCTION("if(ISBLANK('RHS INPUT'!C784),,CONCATENATE(CHAR(34),To_Text('RHS INPUT'!C784),CHAR(34),CHAR(44)))"),"""Exile_Car_Hatchback_Sport_Green"",")</f>
        <v>"Exile_Car_Hatchback_Sport_Green",</v>
      </c>
      <c r="B784" s="18" t="str">
        <f>if(isblank('RHS INPUT'!A784),,CONCATENATE("/*  ",'RHS INPUT'!A784,"  */"))</f>
        <v/>
      </c>
      <c r="C784" s="22" t="str">
        <f>if(isblank(A784),,if('RHS INPUT'!D784=1,Concatenate("class ",'RHS INPUT'!C784),))</f>
        <v>class Exile_Car_Hatchback_Sport_Green</v>
      </c>
      <c r="D784" s="27" t="str">
        <f>if(ISBLANK(A784),,if('RHS INPUT'!D784=1,CONCATENATE("{quality = ",'RHS INPUT'!G784,"; price = ",Round('RHS INPUT'!M784),";};"),""))</f>
        <v>{quality = 1; price = 12000;};</v>
      </c>
      <c r="E784" t="str">
        <f>IFERROR(__xludf.DUMMYFUNCTION("if(ISBLANK(A784),, if('RHS INPUT'!E784=1,CONCATENATE(CHAR(34),To_Text('RHS INPUT'!C784),CHAR(34),CHAR(44)),""""))"),"")</f>
        <v/>
      </c>
      <c r="F784" s="28" t="str">
        <f>IF(isblank(A784) ,Concatenate("&gt; ",'RHS INPUT'!A784) , if('RHS INPUT'!F784=1,CONCATENATE(round('RHS INPUT'!N784),Char(44)," ",'RHS INPUT'!C784),""))</f>
        <v/>
      </c>
    </row>
    <row r="785" ht="12.0" customHeight="1">
      <c r="A785" s="1" t="str">
        <f>IFERROR(__xludf.DUMMYFUNCTION("if(ISBLANK('RHS INPUT'!C785),,CONCATENATE(CHAR(34),To_Text('RHS INPUT'!C785),CHAR(34),CHAR(44)))"),"""Exile_Car_SUV_Red"",")</f>
        <v>"Exile_Car_SUV_Red",</v>
      </c>
      <c r="B785" s="18" t="str">
        <f>if(isblank('RHS INPUT'!A785),,CONCATENATE("/*  ",'RHS INPUT'!A785,"  */"))</f>
        <v/>
      </c>
      <c r="C785" s="22" t="str">
        <f>if(isblank(A785),,if('RHS INPUT'!D785=1,Concatenate("class ",'RHS INPUT'!C785),))</f>
        <v>class Exile_Car_SUV_Red</v>
      </c>
      <c r="D785" s="27" t="str">
        <f>if(ISBLANK(A785),,if('RHS INPUT'!D785=1,CONCATENATE("{quality = ",'RHS INPUT'!G785,"; price = ",Round('RHS INPUT'!M785),";};"),""))</f>
        <v>{quality = 1; price = 20000;};</v>
      </c>
      <c r="E785" t="str">
        <f>IFERROR(__xludf.DUMMYFUNCTION("if(ISBLANK(A785),, if('RHS INPUT'!E785=1,CONCATENATE(CHAR(34),To_Text('RHS INPUT'!C785),CHAR(34),CHAR(44)),""""))"),"""Exile_Car_SUV_Red"",")</f>
        <v>"Exile_Car_SUV_Red",</v>
      </c>
      <c r="F785" s="28" t="str">
        <f>IF(isblank(A785) ,Concatenate("&gt; ",'RHS INPUT'!A785) , if('RHS INPUT'!F785=1,CONCATENATE(round('RHS INPUT'!N785),Char(44)," ",'RHS INPUT'!C785),""))</f>
        <v/>
      </c>
    </row>
    <row r="786" ht="12.0" customHeight="1">
      <c r="A786" s="1" t="str">
        <f>IFERROR(__xludf.DUMMYFUNCTION("if(ISBLANK('RHS INPUT'!C786),,CONCATENATE(CHAR(34),To_Text('RHS INPUT'!C786),CHAR(34),CHAR(44)))"),"""Exile_Car_SUV_Black"",")</f>
        <v>"Exile_Car_SUV_Black",</v>
      </c>
      <c r="B786" s="18" t="str">
        <f>if(isblank('RHS INPUT'!A786),,CONCATENATE("/*  ",'RHS INPUT'!A786,"  */"))</f>
        <v/>
      </c>
      <c r="C786" s="22" t="str">
        <f>if(isblank(A786),,if('RHS INPUT'!D786=1,Concatenate("class ",'RHS INPUT'!C786),))</f>
        <v>class Exile_Car_SUV_Black</v>
      </c>
      <c r="D786" s="27" t="str">
        <f>if(ISBLANK(A786),,if('RHS INPUT'!D786=1,CONCATENATE("{quality = ",'RHS INPUT'!G786,"; price = ",Round('RHS INPUT'!M786),";};"),""))</f>
        <v>{quality = 1; price = 20000;};</v>
      </c>
      <c r="E786" t="str">
        <f>IFERROR(__xludf.DUMMYFUNCTION("if(ISBLANK(A786),, if('RHS INPUT'!E786=1,CONCATENATE(CHAR(34),To_Text('RHS INPUT'!C786),CHAR(34),CHAR(44)),""""))"),"")</f>
        <v/>
      </c>
      <c r="F786" s="28" t="str">
        <f>IF(isblank(A786) ,Concatenate("&gt; ",'RHS INPUT'!A786) , if('RHS INPUT'!F786=1,CONCATENATE(round('RHS INPUT'!N786),Char(44)," ",'RHS INPUT'!C786),""))</f>
        <v/>
      </c>
    </row>
    <row r="787" ht="12.0" customHeight="1">
      <c r="A787" s="1" t="str">
        <f>IFERROR(__xludf.DUMMYFUNCTION("if(ISBLANK('RHS INPUT'!C787),,CONCATENATE(CHAR(34),To_Text('RHS INPUT'!C787),CHAR(34),CHAR(44)))"),"""Exile_Car_SUV_Grey"",")</f>
        <v>"Exile_Car_SUV_Grey",</v>
      </c>
      <c r="B787" s="18" t="str">
        <f>if(isblank('RHS INPUT'!A787),,CONCATENATE("/*  ",'RHS INPUT'!A787,"  */"))</f>
        <v/>
      </c>
      <c r="C787" s="22" t="str">
        <f>if(isblank(A787),,if('RHS INPUT'!D787=1,Concatenate("class ",'RHS INPUT'!C787),))</f>
        <v>class Exile_Car_SUV_Grey</v>
      </c>
      <c r="D787" s="27" t="str">
        <f>if(ISBLANK(A787),,if('RHS INPUT'!D787=1,CONCATENATE("{quality = ",'RHS INPUT'!G787,"; price = ",Round('RHS INPUT'!M787),";};"),""))</f>
        <v>{quality = 1; price = 20000;};</v>
      </c>
      <c r="E787" t="str">
        <f>IFERROR(__xludf.DUMMYFUNCTION("if(ISBLANK(A787),, if('RHS INPUT'!E787=1,CONCATENATE(CHAR(34),To_Text('RHS INPUT'!C787),CHAR(34),CHAR(44)),""""))"),"")</f>
        <v/>
      </c>
      <c r="F787" s="28" t="str">
        <f>IF(isblank(A787) ,Concatenate("&gt; ",'RHS INPUT'!A787) , if('RHS INPUT'!F787=1,CONCATENATE(round('RHS INPUT'!N787),Char(44)," ",'RHS INPUT'!C787),""))</f>
        <v/>
      </c>
    </row>
    <row r="788" ht="12.0" customHeight="1">
      <c r="A788" s="1" t="str">
        <f>IFERROR(__xludf.DUMMYFUNCTION("if(ISBLANK('RHS INPUT'!C788),,CONCATENATE(CHAR(34),To_Text('RHS INPUT'!C788),CHAR(34),CHAR(44)))"),"""Exile_Car_SUV_Orange"",")</f>
        <v>"Exile_Car_SUV_Orange",</v>
      </c>
      <c r="B788" s="18" t="str">
        <f>if(isblank('RHS INPUT'!A788),,CONCATENATE("/*  ",'RHS INPUT'!A788,"  */"))</f>
        <v/>
      </c>
      <c r="C788" s="22" t="str">
        <f>if(isblank(A788),,if('RHS INPUT'!D788=1,Concatenate("class ",'RHS INPUT'!C788),))</f>
        <v>class Exile_Car_SUV_Orange</v>
      </c>
      <c r="D788" s="27" t="str">
        <f>if(ISBLANK(A788),,if('RHS INPUT'!D788=1,CONCATENATE("{quality = ",'RHS INPUT'!G788,"; price = ",Round('RHS INPUT'!M788),";};"),""))</f>
        <v>{quality = 1; price = 20000;};</v>
      </c>
      <c r="E788" t="str">
        <f>IFERROR(__xludf.DUMMYFUNCTION("if(ISBLANK(A788),, if('RHS INPUT'!E788=1,CONCATENATE(CHAR(34),To_Text('RHS INPUT'!C788),CHAR(34),CHAR(44)),""""))"),"")</f>
        <v/>
      </c>
      <c r="F788" s="28" t="str">
        <f>IF(isblank(A788) ,Concatenate("&gt; ",'RHS INPUT'!A788) , if('RHS INPUT'!F788=1,CONCATENATE(round('RHS INPUT'!N788),Char(44)," ",'RHS INPUT'!C788),""))</f>
        <v/>
      </c>
    </row>
    <row r="789" ht="12.0" customHeight="1">
      <c r="A789" s="1" t="str">
        <f>IFERROR(__xludf.DUMMYFUNCTION("if(ISBLANK('RHS INPUT'!C789),,CONCATENATE(CHAR(34),To_Text('RHS INPUT'!C789),CHAR(34),CHAR(44)))"),"""Exile_Car_SUVXL_Black"",")</f>
        <v>"Exile_Car_SUVXL_Black",</v>
      </c>
      <c r="B789" s="18" t="str">
        <f>if(isblank('RHS INPUT'!A789),,CONCATENATE("/*  ",'RHS INPUT'!A789,"  */"))</f>
        <v/>
      </c>
      <c r="C789" s="22" t="str">
        <f>if(isblank(A789),,if('RHS INPUT'!D789=1,Concatenate("class ",'RHS INPUT'!C789),))</f>
        <v>class Exile_Car_SUVXL_Black</v>
      </c>
      <c r="D789" s="27" t="str">
        <f>if(ISBLANK(A789),,if('RHS INPUT'!D789=1,CONCATENATE("{quality = ",'RHS INPUT'!G789,"; price = ",Round('RHS INPUT'!M789),";};"),""))</f>
        <v>{quality = 1; price = 24000;};</v>
      </c>
      <c r="E789" t="str">
        <f>IFERROR(__xludf.DUMMYFUNCTION("if(ISBLANK(A789),, if('RHS INPUT'!E789=1,CONCATENATE(CHAR(34),To_Text('RHS INPUT'!C789),CHAR(34),CHAR(44)),""""))"),"""Exile_Car_SUVXL_Black"",")</f>
        <v>"Exile_Car_SUVXL_Black",</v>
      </c>
      <c r="F789" s="28" t="str">
        <f>IF(isblank(A789) ,Concatenate("&gt; ",'RHS INPUT'!A789) , if('RHS INPUT'!F789=1,CONCATENATE(round('RHS INPUT'!N789),Char(44)," ",'RHS INPUT'!C789),""))</f>
        <v/>
      </c>
    </row>
    <row r="790" ht="12.0" customHeight="1">
      <c r="A790" s="1" t="str">
        <f>IFERROR(__xludf.DUMMYFUNCTION("if(ISBLANK('RHS INPUT'!C790),,CONCATENATE(CHAR(34),To_Text('RHS INPUT'!C790),CHAR(34),CHAR(44)))"),"""Exile_Car_Offroad_Rusty1"",")</f>
        <v>"Exile_Car_Offroad_Rusty1",</v>
      </c>
      <c r="B790" s="18" t="str">
        <f>if(isblank('RHS INPUT'!A790),,CONCATENATE("/*  ",'RHS INPUT'!A790,"  */"))</f>
        <v/>
      </c>
      <c r="C790" s="22" t="str">
        <f>if(isblank(A790),,if('RHS INPUT'!D790=1,Concatenate("class ",'RHS INPUT'!C790),))</f>
        <v>class Exile_Car_Offroad_Rusty1</v>
      </c>
      <c r="D790" s="27" t="str">
        <f>if(ISBLANK(A790),,if('RHS INPUT'!D790=1,CONCATENATE("{quality = ",'RHS INPUT'!G790,"; price = ",Round('RHS INPUT'!M790),";};"),""))</f>
        <v>{quality = 1; price = 15000;};</v>
      </c>
      <c r="E790" t="str">
        <f>IFERROR(__xludf.DUMMYFUNCTION("if(ISBLANK(A790),, if('RHS INPUT'!E790=1,CONCATENATE(CHAR(34),To_Text('RHS INPUT'!C790),CHAR(34),CHAR(44)),""""))"),"""Exile_Car_Offroad_Rusty1"",")</f>
        <v>"Exile_Car_Offroad_Rusty1",</v>
      </c>
      <c r="F790" s="28" t="str">
        <f>IF(isblank(A790) ,Concatenate("&gt; ",'RHS INPUT'!A790) , if('RHS INPUT'!F790=1,CONCATENATE(round('RHS INPUT'!N790),Char(44)," ",'RHS INPUT'!C790),""))</f>
        <v/>
      </c>
    </row>
    <row r="791" ht="12.0" customHeight="1">
      <c r="A791" s="1" t="str">
        <f>IFERROR(__xludf.DUMMYFUNCTION("if(ISBLANK('RHS INPUT'!C791),,CONCATENATE(CHAR(34),To_Text('RHS INPUT'!C791),CHAR(34),CHAR(44)))"),"""Exile_Car_Offroad_Rusty2"",")</f>
        <v>"Exile_Car_Offroad_Rusty2",</v>
      </c>
      <c r="B791" s="18" t="str">
        <f>if(isblank('RHS INPUT'!A791),,CONCATENATE("/*  ",'RHS INPUT'!A791,"  */"))</f>
        <v/>
      </c>
      <c r="C791" s="22" t="str">
        <f>if(isblank(A791),,if('RHS INPUT'!D791=1,Concatenate("class ",'RHS INPUT'!C791),))</f>
        <v>class Exile_Car_Offroad_Rusty2</v>
      </c>
      <c r="D791" s="27" t="str">
        <f>if(ISBLANK(A791),,if('RHS INPUT'!D791=1,CONCATENATE("{quality = ",'RHS INPUT'!G791,"; price = ",Round('RHS INPUT'!M791),";};"),""))</f>
        <v>{quality = 1; price = 15000;};</v>
      </c>
      <c r="E791" t="str">
        <f>IFERROR(__xludf.DUMMYFUNCTION("if(ISBLANK(A791),, if('RHS INPUT'!E791=1,CONCATENATE(CHAR(34),To_Text('RHS INPUT'!C791),CHAR(34),CHAR(44)),""""))"),"""Exile_Car_Offroad_Rusty2"",")</f>
        <v>"Exile_Car_Offroad_Rusty2",</v>
      </c>
      <c r="F791" s="28" t="str">
        <f>IF(isblank(A791) ,Concatenate("&gt; ",'RHS INPUT'!A791) , if('RHS INPUT'!F791=1,CONCATENATE(round('RHS INPUT'!N791),Char(44)," ",'RHS INPUT'!C791),""))</f>
        <v/>
      </c>
    </row>
    <row r="792" ht="12.0" customHeight="1">
      <c r="A792" s="1" t="str">
        <f>IFERROR(__xludf.DUMMYFUNCTION("if(ISBLANK('RHS INPUT'!C792),,CONCATENATE(CHAR(34),To_Text('RHS INPUT'!C792),CHAR(34),CHAR(44)))"),"""Exile_Car_Offroad_Rusty3"",")</f>
        <v>"Exile_Car_Offroad_Rusty3",</v>
      </c>
      <c r="B792" s="18" t="str">
        <f>if(isblank('RHS INPUT'!A792),,CONCATENATE("/*  ",'RHS INPUT'!A792,"  */"))</f>
        <v/>
      </c>
      <c r="C792" s="22" t="str">
        <f>if(isblank(A792),,if('RHS INPUT'!D792=1,Concatenate("class ",'RHS INPUT'!C792),))</f>
        <v>class Exile_Car_Offroad_Rusty3</v>
      </c>
      <c r="D792" s="27" t="str">
        <f>if(ISBLANK(A792),,if('RHS INPUT'!D792=1,CONCATENATE("{quality = ",'RHS INPUT'!G792,"; price = ",Round('RHS INPUT'!M792),";};"),""))</f>
        <v>{quality = 1; price = 15000;};</v>
      </c>
      <c r="E792" t="str">
        <f>IFERROR(__xludf.DUMMYFUNCTION("if(ISBLANK(A792),, if('RHS INPUT'!E792=1,CONCATENATE(CHAR(34),To_Text('RHS INPUT'!C792),CHAR(34),CHAR(44)),""""))"),"""Exile_Car_Offroad_Rusty3"",")</f>
        <v>"Exile_Car_Offroad_Rusty3",</v>
      </c>
      <c r="F792" s="28" t="str">
        <f>IF(isblank(A792) ,Concatenate("&gt; ",'RHS INPUT'!A792) , if('RHS INPUT'!F792=1,CONCATENATE(round('RHS INPUT'!N792),Char(44)," ",'RHS INPUT'!C792),""))</f>
        <v/>
      </c>
    </row>
    <row r="793" ht="12.0" customHeight="1">
      <c r="A793" s="1" t="str">
        <f>IFERROR(__xludf.DUMMYFUNCTION("if(ISBLANK('RHS INPUT'!C793),,CONCATENATE(CHAR(34),To_Text('RHS INPUT'!C793),CHAR(34),CHAR(44)))"),"""Exile_Car_Offroad_Red"",")</f>
        <v>"Exile_Car_Offroad_Red",</v>
      </c>
      <c r="B793" s="18" t="str">
        <f>if(isblank('RHS INPUT'!A793),,CONCATENATE("/*  ",'RHS INPUT'!A793,"  */"))</f>
        <v/>
      </c>
      <c r="C793" s="22" t="str">
        <f>if(isblank(A793),,if('RHS INPUT'!D793=1,Concatenate("class ",'RHS INPUT'!C793),))</f>
        <v>class Exile_Car_Offroad_Red</v>
      </c>
      <c r="D793" s="27" t="str">
        <f>if(ISBLANK(A793),,if('RHS INPUT'!D793=1,CONCATENATE("{quality = ",'RHS INPUT'!G793,"; price = ",Round('RHS INPUT'!M793),";};"),""))</f>
        <v>{quality = 1; price = 15000;};</v>
      </c>
      <c r="E793" t="str">
        <f>IFERROR(__xludf.DUMMYFUNCTION("if(ISBLANK(A793),, if('RHS INPUT'!E793=1,CONCATENATE(CHAR(34),To_Text('RHS INPUT'!C793),CHAR(34),CHAR(44)),""""))"),"")</f>
        <v/>
      </c>
      <c r="F793" s="28" t="str">
        <f>IF(isblank(A793) ,Concatenate("&gt; ",'RHS INPUT'!A793) , if('RHS INPUT'!F793=1,CONCATENATE(round('RHS INPUT'!N793),Char(44)," ",'RHS INPUT'!C793),""))</f>
        <v/>
      </c>
    </row>
    <row r="794" ht="12.0" customHeight="1">
      <c r="A794" s="1" t="str">
        <f>IFERROR(__xludf.DUMMYFUNCTION("if(ISBLANK('RHS INPUT'!C794),,CONCATENATE(CHAR(34),To_Text('RHS INPUT'!C794),CHAR(34),CHAR(44)))"),"""Exile_Car_Offroad_Beige"",")</f>
        <v>"Exile_Car_Offroad_Beige",</v>
      </c>
      <c r="B794" s="18" t="str">
        <f>if(isblank('RHS INPUT'!A794),,CONCATENATE("/*  ",'RHS INPUT'!A794,"  */"))</f>
        <v/>
      </c>
      <c r="C794" s="22" t="str">
        <f>if(isblank(A794),,if('RHS INPUT'!D794=1,Concatenate("class ",'RHS INPUT'!C794),))</f>
        <v>class Exile_Car_Offroad_Beige</v>
      </c>
      <c r="D794" s="27" t="str">
        <f>if(ISBLANK(A794),,if('RHS INPUT'!D794=1,CONCATENATE("{quality = ",'RHS INPUT'!G794,"; price = ",Round('RHS INPUT'!M794),";};"),""))</f>
        <v>{quality = 1; price = 15000;};</v>
      </c>
      <c r="E794" t="str">
        <f>IFERROR(__xludf.DUMMYFUNCTION("if(ISBLANK(A794),, if('RHS INPUT'!E794=1,CONCATENATE(CHAR(34),To_Text('RHS INPUT'!C794),CHAR(34),CHAR(44)),""""))"),"")</f>
        <v/>
      </c>
      <c r="F794" s="28" t="str">
        <f>IF(isblank(A794) ,Concatenate("&gt; ",'RHS INPUT'!A794) , if('RHS INPUT'!F794=1,CONCATENATE(round('RHS INPUT'!N794),Char(44)," ",'RHS INPUT'!C794),""))</f>
        <v/>
      </c>
    </row>
    <row r="795" ht="12.0" customHeight="1">
      <c r="A795" s="1" t="str">
        <f>IFERROR(__xludf.DUMMYFUNCTION("if(ISBLANK('RHS INPUT'!C795),,CONCATENATE(CHAR(34),To_Text('RHS INPUT'!C795),CHAR(34),CHAR(44)))"),"""Exile_Car_Offroad_White"",")</f>
        <v>"Exile_Car_Offroad_White",</v>
      </c>
      <c r="B795" s="18" t="str">
        <f>if(isblank('RHS INPUT'!A795),,CONCATENATE("/*  ",'RHS INPUT'!A795,"  */"))</f>
        <v/>
      </c>
      <c r="C795" s="22" t="str">
        <f>if(isblank(A795),,if('RHS INPUT'!D795=1,Concatenate("class ",'RHS INPUT'!C795),))</f>
        <v>class Exile_Car_Offroad_White</v>
      </c>
      <c r="D795" s="27" t="str">
        <f>if(ISBLANK(A795),,if('RHS INPUT'!D795=1,CONCATENATE("{quality = ",'RHS INPUT'!G795,"; price = ",Round('RHS INPUT'!M795),";};"),""))</f>
        <v>{quality = 1; price = 15000;};</v>
      </c>
      <c r="E795" t="str">
        <f>IFERROR(__xludf.DUMMYFUNCTION("if(ISBLANK(A795),, if('RHS INPUT'!E795=1,CONCATENATE(CHAR(34),To_Text('RHS INPUT'!C795),CHAR(34),CHAR(44)),""""))"),"")</f>
        <v/>
      </c>
      <c r="F795" s="28" t="str">
        <f>IF(isblank(A795) ,Concatenate("&gt; ",'RHS INPUT'!A795) , if('RHS INPUT'!F795=1,CONCATENATE(round('RHS INPUT'!N795),Char(44)," ",'RHS INPUT'!C795),""))</f>
        <v/>
      </c>
    </row>
    <row r="796" ht="12.0" customHeight="1">
      <c r="A796" s="1" t="str">
        <f>IFERROR(__xludf.DUMMYFUNCTION("if(ISBLANK('RHS INPUT'!C796),,CONCATENATE(CHAR(34),To_Text('RHS INPUT'!C796),CHAR(34),CHAR(44)))"),"""Exile_Car_Offroad_Blue"",")</f>
        <v>"Exile_Car_Offroad_Blue",</v>
      </c>
      <c r="B796" s="18" t="str">
        <f>if(isblank('RHS INPUT'!A796),,CONCATENATE("/*  ",'RHS INPUT'!A796,"  */"))</f>
        <v/>
      </c>
      <c r="C796" s="22" t="str">
        <f>if(isblank(A796),,if('RHS INPUT'!D796=1,Concatenate("class ",'RHS INPUT'!C796),))</f>
        <v>class Exile_Car_Offroad_Blue</v>
      </c>
      <c r="D796" s="27" t="str">
        <f>if(ISBLANK(A796),,if('RHS INPUT'!D796=1,CONCATENATE("{quality = ",'RHS INPUT'!G796,"; price = ",Round('RHS INPUT'!M796),";};"),""))</f>
        <v>{quality = 1; price = 15000;};</v>
      </c>
      <c r="E796" t="str">
        <f>IFERROR(__xludf.DUMMYFUNCTION("if(ISBLANK(A796),, if('RHS INPUT'!E796=1,CONCATENATE(CHAR(34),To_Text('RHS INPUT'!C796),CHAR(34),CHAR(44)),""""))"),"")</f>
        <v/>
      </c>
      <c r="F796" s="28" t="str">
        <f>IF(isblank(A796) ,Concatenate("&gt; ",'RHS INPUT'!A796) , if('RHS INPUT'!F796=1,CONCATENATE(round('RHS INPUT'!N796),Char(44)," ",'RHS INPUT'!C796),""))</f>
        <v/>
      </c>
    </row>
    <row r="797" ht="12.0" customHeight="1">
      <c r="A797" s="1" t="str">
        <f>IFERROR(__xludf.DUMMYFUNCTION("if(ISBLANK('RHS INPUT'!C797),,CONCATENATE(CHAR(34),To_Text('RHS INPUT'!C797),CHAR(34),CHAR(44)))"),"""Exile_Car_Offroad_DarkRed"",")</f>
        <v>"Exile_Car_Offroad_DarkRed",</v>
      </c>
      <c r="B797" s="18" t="str">
        <f>if(isblank('RHS INPUT'!A797),,CONCATENATE("/*  ",'RHS INPUT'!A797,"  */"))</f>
        <v/>
      </c>
      <c r="C797" s="22" t="str">
        <f>if(isblank(A797),,if('RHS INPUT'!D797=1,Concatenate("class ",'RHS INPUT'!C797),))</f>
        <v>class Exile_Car_Offroad_DarkRed</v>
      </c>
      <c r="D797" s="27" t="str">
        <f>if(ISBLANK(A797),,if('RHS INPUT'!D797=1,CONCATENATE("{quality = ",'RHS INPUT'!G797,"; price = ",Round('RHS INPUT'!M797),";};"),""))</f>
        <v>{quality = 1; price = 15000;};</v>
      </c>
      <c r="E797" t="str">
        <f>IFERROR(__xludf.DUMMYFUNCTION("if(ISBLANK(A797),, if('RHS INPUT'!E797=1,CONCATENATE(CHAR(34),To_Text('RHS INPUT'!C797),CHAR(34),CHAR(44)),""""))"),"")</f>
        <v/>
      </c>
      <c r="F797" s="28" t="str">
        <f>IF(isblank(A797) ,Concatenate("&gt; ",'RHS INPUT'!A797) , if('RHS INPUT'!F797=1,CONCATENATE(round('RHS INPUT'!N797),Char(44)," ",'RHS INPUT'!C797),""))</f>
        <v/>
      </c>
    </row>
    <row r="798" ht="12.0" customHeight="1">
      <c r="A798" s="1" t="str">
        <f>IFERROR(__xludf.DUMMYFUNCTION("if(ISBLANK('RHS INPUT'!C798),,CONCATENATE(CHAR(34),To_Text('RHS INPUT'!C798),CHAR(34),CHAR(44)))"),"""Exile_Car_Offroad_BlueCustom"",")</f>
        <v>"Exile_Car_Offroad_BlueCustom",</v>
      </c>
      <c r="B798" s="18" t="str">
        <f>if(isblank('RHS INPUT'!A798),,CONCATENATE("/*  ",'RHS INPUT'!A798,"  */"))</f>
        <v/>
      </c>
      <c r="C798" s="22" t="str">
        <f>if(isblank(A798),,if('RHS INPUT'!D798=1,Concatenate("class ",'RHS INPUT'!C798),))</f>
        <v>class Exile_Car_Offroad_BlueCustom</v>
      </c>
      <c r="D798" s="27" t="str">
        <f>if(ISBLANK(A798),,if('RHS INPUT'!D798=1,CONCATENATE("{quality = ",'RHS INPUT'!G798,"; price = ",Round('RHS INPUT'!M798),";};"),""))</f>
        <v>{quality = 1; price = 15000;};</v>
      </c>
      <c r="E798" t="str">
        <f>IFERROR(__xludf.DUMMYFUNCTION("if(ISBLANK(A798),, if('RHS INPUT'!E798=1,CONCATENATE(CHAR(34),To_Text('RHS INPUT'!C798),CHAR(34),CHAR(44)),""""))"),"")</f>
        <v/>
      </c>
      <c r="F798" s="28" t="str">
        <f>IF(isblank(A798) ,Concatenate("&gt; ",'RHS INPUT'!A798) , if('RHS INPUT'!F798=1,CONCATENATE(round('RHS INPUT'!N798),Char(44)," ",'RHS INPUT'!C798),""))</f>
        <v/>
      </c>
    </row>
    <row r="799" ht="12.0" customHeight="1">
      <c r="A799" s="1" t="str">
        <f>IFERROR(__xludf.DUMMYFUNCTION("if(ISBLANK('RHS INPUT'!C799),,CONCATENATE(CHAR(34),To_Text('RHS INPUT'!C799),CHAR(34),CHAR(44)))"),"""Exile_Car_Offroad_Guerilla01"",")</f>
        <v>"Exile_Car_Offroad_Guerilla01",</v>
      </c>
      <c r="B799" s="18" t="str">
        <f>if(isblank('RHS INPUT'!A799),,CONCATENATE("/*  ",'RHS INPUT'!A799,"  */"))</f>
        <v/>
      </c>
      <c r="C799" s="22" t="str">
        <f>if(isblank(A799),,if('RHS INPUT'!D799=1,Concatenate("class ",'RHS INPUT'!C799),))</f>
        <v>class Exile_Car_Offroad_Guerilla01</v>
      </c>
      <c r="D799" s="27" t="str">
        <f>if(ISBLANK(A799),,if('RHS INPUT'!D799=1,CONCATENATE("{quality = ",'RHS INPUT'!G799,"; price = ",Round('RHS INPUT'!M799),";};"),""))</f>
        <v>{quality = 1; price = 15000;};</v>
      </c>
      <c r="E799" t="str">
        <f>IFERROR(__xludf.DUMMYFUNCTION("if(ISBLANK(A799),, if('RHS INPUT'!E799=1,CONCATENATE(CHAR(34),To_Text('RHS INPUT'!C799),CHAR(34),CHAR(44)),""""))"),"")</f>
        <v/>
      </c>
      <c r="F799" s="28" t="str">
        <f>IF(isblank(A799) ,Concatenate("&gt; ",'RHS INPUT'!A799) , if('RHS INPUT'!F799=1,CONCATENATE(round('RHS INPUT'!N799),Char(44)," ",'RHS INPUT'!C799),""))</f>
        <v/>
      </c>
    </row>
    <row r="800" ht="12.0" customHeight="1">
      <c r="A800" s="1" t="str">
        <f>IFERROR(__xludf.DUMMYFUNCTION("if(ISBLANK('RHS INPUT'!C800),,CONCATENATE(CHAR(34),To_Text('RHS INPUT'!C800),CHAR(34),CHAR(44)))"),"""Exile_Car_Offroad_Guerilla02"",")</f>
        <v>"Exile_Car_Offroad_Guerilla02",</v>
      </c>
      <c r="B800" s="18" t="str">
        <f>if(isblank('RHS INPUT'!A800),,CONCATENATE("/*  ",'RHS INPUT'!A800,"  */"))</f>
        <v/>
      </c>
      <c r="C800" s="22" t="str">
        <f>if(isblank(A800),,if('RHS INPUT'!D800=1,Concatenate("class ",'RHS INPUT'!C800),))</f>
        <v>class Exile_Car_Offroad_Guerilla02</v>
      </c>
      <c r="D800" s="27" t="str">
        <f>if(ISBLANK(A800),,if('RHS INPUT'!D800=1,CONCATENATE("{quality = ",'RHS INPUT'!G800,"; price = ",Round('RHS INPUT'!M800),";};"),""))</f>
        <v>{quality = 1; price = 15000;};</v>
      </c>
      <c r="E800" t="str">
        <f>IFERROR(__xludf.DUMMYFUNCTION("if(ISBLANK(A800),, if('RHS INPUT'!E800=1,CONCATENATE(CHAR(34),To_Text('RHS INPUT'!C800),CHAR(34),CHAR(44)),""""))"),"")</f>
        <v/>
      </c>
      <c r="F800" s="28" t="str">
        <f>IF(isblank(A800) ,Concatenate("&gt; ",'RHS INPUT'!A800) , if('RHS INPUT'!F800=1,CONCATENATE(round('RHS INPUT'!N800),Char(44)," ",'RHS INPUT'!C800),""))</f>
        <v/>
      </c>
    </row>
    <row r="801" ht="12.0" customHeight="1">
      <c r="A801" s="1" t="str">
        <f>IFERROR(__xludf.DUMMYFUNCTION("if(ISBLANK('RHS INPUT'!C801),,CONCATENATE(CHAR(34),To_Text('RHS INPUT'!C801),CHAR(34),CHAR(44)))"),"""Exile_Car_Offroad_Guerilla03"",")</f>
        <v>"Exile_Car_Offroad_Guerilla03",</v>
      </c>
      <c r="B801" s="18" t="str">
        <f>if(isblank('RHS INPUT'!A801),,CONCATENATE("/*  ",'RHS INPUT'!A801,"  */"))</f>
        <v/>
      </c>
      <c r="C801" s="22" t="str">
        <f>if(isblank(A801),,if('RHS INPUT'!D801=1,Concatenate("class ",'RHS INPUT'!C801),))</f>
        <v>class Exile_Car_Offroad_Guerilla03</v>
      </c>
      <c r="D801" s="27" t="str">
        <f>if(ISBLANK(A801),,if('RHS INPUT'!D801=1,CONCATENATE("{quality = ",'RHS INPUT'!G801,"; price = ",Round('RHS INPUT'!M801),";};"),""))</f>
        <v>{quality = 1; price = 15000;};</v>
      </c>
      <c r="E801" t="str">
        <f>IFERROR(__xludf.DUMMYFUNCTION("if(ISBLANK(A801),, if('RHS INPUT'!E801=1,CONCATENATE(CHAR(34),To_Text('RHS INPUT'!C801),CHAR(34),CHAR(44)),""""))"),"")</f>
        <v/>
      </c>
      <c r="F801" s="28" t="str">
        <f>IF(isblank(A801) ,Concatenate("&gt; ",'RHS INPUT'!A801) , if('RHS INPUT'!F801=1,CONCATENATE(round('RHS INPUT'!N801),Char(44)," ",'RHS INPUT'!C801),""))</f>
        <v/>
      </c>
    </row>
    <row r="802" ht="12.0" customHeight="1">
      <c r="A802" s="1" t="str">
        <f>IFERROR(__xludf.DUMMYFUNCTION("if(ISBLANK('RHS INPUT'!C802),,CONCATENATE(CHAR(34),To_Text('RHS INPUT'!C802),CHAR(34),CHAR(44)))"),"""Exile_Car_Offroad_Guerilla04"",")</f>
        <v>"Exile_Car_Offroad_Guerilla04",</v>
      </c>
      <c r="B802" s="18" t="str">
        <f>if(isblank('RHS INPUT'!A802),,CONCATENATE("/*  ",'RHS INPUT'!A802,"  */"))</f>
        <v/>
      </c>
      <c r="C802" s="22" t="str">
        <f>if(isblank(A802),,if('RHS INPUT'!D802=1,Concatenate("class ",'RHS INPUT'!C802),))</f>
        <v>class Exile_Car_Offroad_Guerilla04</v>
      </c>
      <c r="D802" s="27" t="str">
        <f>if(ISBLANK(A802),,if('RHS INPUT'!D802=1,CONCATENATE("{quality = ",'RHS INPUT'!G802,"; price = ",Round('RHS INPUT'!M802),";};"),""))</f>
        <v>{quality = 1; price = 15000;};</v>
      </c>
      <c r="E802" t="str">
        <f>IFERROR(__xludf.DUMMYFUNCTION("if(ISBLANK(A802),, if('RHS INPUT'!E802=1,CONCATENATE(CHAR(34),To_Text('RHS INPUT'!C802),CHAR(34),CHAR(44)),""""))"),"")</f>
        <v/>
      </c>
      <c r="F802" s="28" t="str">
        <f>IF(isblank(A802) ,Concatenate("&gt; ",'RHS INPUT'!A802) , if('RHS INPUT'!F802=1,CONCATENATE(round('RHS INPUT'!N802),Char(44)," ",'RHS INPUT'!C802),""))</f>
        <v/>
      </c>
    </row>
    <row r="803" ht="12.0" customHeight="1">
      <c r="A803" s="1" t="str">
        <f>IFERROR(__xludf.DUMMYFUNCTION("if(ISBLANK('RHS INPUT'!C803),,CONCATENATE(CHAR(34),To_Text('RHS INPUT'!C803),CHAR(34),CHAR(44)))"),"""Exile_Car_Offroad_Guerilla05"",")</f>
        <v>"Exile_Car_Offroad_Guerilla05",</v>
      </c>
      <c r="B803" s="18" t="str">
        <f>if(isblank('RHS INPUT'!A803),,CONCATENATE("/*  ",'RHS INPUT'!A803,"  */"))</f>
        <v/>
      </c>
      <c r="C803" s="22" t="str">
        <f>if(isblank(A803),,if('RHS INPUT'!D803=1,Concatenate("class ",'RHS INPUT'!C803),))</f>
        <v>class Exile_Car_Offroad_Guerilla05</v>
      </c>
      <c r="D803" s="27" t="str">
        <f>if(ISBLANK(A803),,if('RHS INPUT'!D803=1,CONCATENATE("{quality = ",'RHS INPUT'!G803,"; price = ",Round('RHS INPUT'!M803),";};"),""))</f>
        <v>{quality = 1; price = 15000;};</v>
      </c>
      <c r="E803" t="str">
        <f>IFERROR(__xludf.DUMMYFUNCTION("if(ISBLANK(A803),, if('RHS INPUT'!E803=1,CONCATENATE(CHAR(34),To_Text('RHS INPUT'!C803),CHAR(34),CHAR(44)),""""))"),"")</f>
        <v/>
      </c>
      <c r="F803" s="28" t="str">
        <f>IF(isblank(A803) ,Concatenate("&gt; ",'RHS INPUT'!A803) , if('RHS INPUT'!F803=1,CONCATENATE(round('RHS INPUT'!N803),Char(44)," ",'RHS INPUT'!C803),""))</f>
        <v/>
      </c>
    </row>
    <row r="804" ht="12.0" customHeight="1">
      <c r="A804" s="1" t="str">
        <f>IFERROR(__xludf.DUMMYFUNCTION("if(ISBLANK('RHS INPUT'!C804),,CONCATENATE(CHAR(34),To_Text('RHS INPUT'!C804),CHAR(34),CHAR(44)))"),"""Exile_Car_Offroad_Guerilla06"",")</f>
        <v>"Exile_Car_Offroad_Guerilla06",</v>
      </c>
      <c r="B804" s="18" t="str">
        <f>if(isblank('RHS INPUT'!A804),,CONCATENATE("/*  ",'RHS INPUT'!A804,"  */"))</f>
        <v/>
      </c>
      <c r="C804" s="22" t="str">
        <f>if(isblank(A804),,if('RHS INPUT'!D804=1,Concatenate("class ",'RHS INPUT'!C804),))</f>
        <v>class Exile_Car_Offroad_Guerilla06</v>
      </c>
      <c r="D804" s="27" t="str">
        <f>if(ISBLANK(A804),,if('RHS INPUT'!D804=1,CONCATENATE("{quality = ",'RHS INPUT'!G804,"; price = ",Round('RHS INPUT'!M804),";};"),""))</f>
        <v>{quality = 1; price = 15000;};</v>
      </c>
      <c r="E804" t="str">
        <f>IFERROR(__xludf.DUMMYFUNCTION("if(ISBLANK(A804),, if('RHS INPUT'!E804=1,CONCATENATE(CHAR(34),To_Text('RHS INPUT'!C804),CHAR(34),CHAR(44)),""""))"),"")</f>
        <v/>
      </c>
      <c r="F804" s="28" t="str">
        <f>IF(isblank(A804) ,Concatenate("&gt; ",'RHS INPUT'!A804) , if('RHS INPUT'!F804=1,CONCATENATE(round('RHS INPUT'!N804),Char(44)," ",'RHS INPUT'!C804),""))</f>
        <v/>
      </c>
    </row>
    <row r="805" ht="12.0" customHeight="1">
      <c r="A805" s="1" t="str">
        <f>IFERROR(__xludf.DUMMYFUNCTION("if(ISBLANK('RHS INPUT'!C805),,CONCATENATE(CHAR(34),To_Text('RHS INPUT'!C805),CHAR(34),CHAR(44)))"),"""Exile_Car_Offroad_Guerilla07"",")</f>
        <v>"Exile_Car_Offroad_Guerilla07",</v>
      </c>
      <c r="B805" s="18" t="str">
        <f>if(isblank('RHS INPUT'!A805),,CONCATENATE("/*  ",'RHS INPUT'!A805,"  */"))</f>
        <v/>
      </c>
      <c r="C805" s="22" t="str">
        <f>if(isblank(A805),,if('RHS INPUT'!D805=1,Concatenate("class ",'RHS INPUT'!C805),))</f>
        <v>class Exile_Car_Offroad_Guerilla07</v>
      </c>
      <c r="D805" s="27" t="str">
        <f>if(ISBLANK(A805),,if('RHS INPUT'!D805=1,CONCATENATE("{quality = ",'RHS INPUT'!G805,"; price = ",Round('RHS INPUT'!M805),";};"),""))</f>
        <v>{quality = 1; price = 15000;};</v>
      </c>
      <c r="E805" t="str">
        <f>IFERROR(__xludf.DUMMYFUNCTION("if(ISBLANK(A805),, if('RHS INPUT'!E805=1,CONCATENATE(CHAR(34),To_Text('RHS INPUT'!C805),CHAR(34),CHAR(44)),""""))"),"")</f>
        <v/>
      </c>
      <c r="F805" s="28" t="str">
        <f>IF(isblank(A805) ,Concatenate("&gt; ",'RHS INPUT'!A805) , if('RHS INPUT'!F805=1,CONCATENATE(round('RHS INPUT'!N805),Char(44)," ",'RHS INPUT'!C805),""))</f>
        <v/>
      </c>
    </row>
    <row r="806" ht="12.0" customHeight="1">
      <c r="A806" s="1" t="str">
        <f>IFERROR(__xludf.DUMMYFUNCTION("if(ISBLANK('RHS INPUT'!C806),,CONCATENATE(CHAR(34),To_Text('RHS INPUT'!C806),CHAR(34),CHAR(44)))"),"""Exile_Car_Offroad_Guerilla08"",")</f>
        <v>"Exile_Car_Offroad_Guerilla08",</v>
      </c>
      <c r="B806" s="18" t="str">
        <f>if(isblank('RHS INPUT'!A806),,CONCATENATE("/*  ",'RHS INPUT'!A806,"  */"))</f>
        <v/>
      </c>
      <c r="C806" s="22" t="str">
        <f>if(isblank(A806),,if('RHS INPUT'!D806=1,Concatenate("class ",'RHS INPUT'!C806),))</f>
        <v>class Exile_Car_Offroad_Guerilla08</v>
      </c>
      <c r="D806" s="27" t="str">
        <f>if(ISBLANK(A806),,if('RHS INPUT'!D806=1,CONCATENATE("{quality = ",'RHS INPUT'!G806,"; price = ",Round('RHS INPUT'!M806),";};"),""))</f>
        <v>{quality = 1; price = 15000;};</v>
      </c>
      <c r="E806" t="str">
        <f>IFERROR(__xludf.DUMMYFUNCTION("if(ISBLANK(A806),, if('RHS INPUT'!E806=1,CONCATENATE(CHAR(34),To_Text('RHS INPUT'!C806),CHAR(34),CHAR(44)),""""))"),"")</f>
        <v/>
      </c>
      <c r="F806" s="28" t="str">
        <f>IF(isblank(A806) ,Concatenate("&gt; ",'RHS INPUT'!A806) , if('RHS INPUT'!F806=1,CONCATENATE(round('RHS INPUT'!N806),Char(44)," ",'RHS INPUT'!C806),""))</f>
        <v/>
      </c>
    </row>
    <row r="807" ht="12.0" customHeight="1">
      <c r="A807" s="1" t="str">
        <f>IFERROR(__xludf.DUMMYFUNCTION("if(ISBLANK('RHS INPUT'!C807),,CONCATENATE(CHAR(34),To_Text('RHS INPUT'!C807),CHAR(34),CHAR(44)))"),"""Exile_Car_Offroad_Guerilla09"",")</f>
        <v>"Exile_Car_Offroad_Guerilla09",</v>
      </c>
      <c r="B807" s="18" t="str">
        <f>if(isblank('RHS INPUT'!A807),,CONCATENATE("/*  ",'RHS INPUT'!A807,"  */"))</f>
        <v/>
      </c>
      <c r="C807" s="22" t="str">
        <f>if(isblank(A807),,if('RHS INPUT'!D807=1,Concatenate("class ",'RHS INPUT'!C807),))</f>
        <v>class Exile_Car_Offroad_Guerilla09</v>
      </c>
      <c r="D807" s="27" t="str">
        <f>if(ISBLANK(A807),,if('RHS INPUT'!D807=1,CONCATENATE("{quality = ",'RHS INPUT'!G807,"; price = ",Round('RHS INPUT'!M807),";};"),""))</f>
        <v>{quality = 1; price = 15000;};</v>
      </c>
      <c r="E807" t="str">
        <f>IFERROR(__xludf.DUMMYFUNCTION("if(ISBLANK(A807),, if('RHS INPUT'!E807=1,CONCATENATE(CHAR(34),To_Text('RHS INPUT'!C807),CHAR(34),CHAR(44)),""""))"),"")</f>
        <v/>
      </c>
      <c r="F807" s="28" t="str">
        <f>IF(isblank(A807) ,Concatenate("&gt; ",'RHS INPUT'!A807) , if('RHS INPUT'!F807=1,CONCATENATE(round('RHS INPUT'!N807),Char(44)," ",'RHS INPUT'!C807),""))</f>
        <v/>
      </c>
    </row>
    <row r="808" ht="12.0" customHeight="1">
      <c r="A808" s="1" t="str">
        <f>IFERROR(__xludf.DUMMYFUNCTION("if(ISBLANK('RHS INPUT'!C808),,CONCATENATE(CHAR(34),To_Text('RHS INPUT'!C808),CHAR(34),CHAR(44)))"),"""Exile_Car_Offroad_Guerilla10"",")</f>
        <v>"Exile_Car_Offroad_Guerilla10",</v>
      </c>
      <c r="B808" s="18" t="str">
        <f>if(isblank('RHS INPUT'!A808),,CONCATENATE("/*  ",'RHS INPUT'!A808,"  */"))</f>
        <v/>
      </c>
      <c r="C808" s="22" t="str">
        <f>if(isblank(A808),,if('RHS INPUT'!D808=1,Concatenate("class ",'RHS INPUT'!C808),))</f>
        <v>class Exile_Car_Offroad_Guerilla10</v>
      </c>
      <c r="D808" s="27" t="str">
        <f>if(ISBLANK(A808),,if('RHS INPUT'!D808=1,CONCATENATE("{quality = ",'RHS INPUT'!G808,"; price = ",Round('RHS INPUT'!M808),";};"),""))</f>
        <v>{quality = 1; price = 15000;};</v>
      </c>
      <c r="E808" t="str">
        <f>IFERROR(__xludf.DUMMYFUNCTION("if(ISBLANK(A808),, if('RHS INPUT'!E808=1,CONCATENATE(CHAR(34),To_Text('RHS INPUT'!C808),CHAR(34),CHAR(44)),""""))"),"")</f>
        <v/>
      </c>
      <c r="F808" s="28" t="str">
        <f>IF(isblank(A808) ,Concatenate("&gt; ",'RHS INPUT'!A808) , if('RHS INPUT'!F808=1,CONCATENATE(round('RHS INPUT'!N808),Char(44)," ",'RHS INPUT'!C808),""))</f>
        <v/>
      </c>
    </row>
    <row r="809" ht="12.0" customHeight="1">
      <c r="A809" s="1" t="str">
        <f>IFERROR(__xludf.DUMMYFUNCTION("if(ISBLANK('RHS INPUT'!C809),,CONCATENATE(CHAR(34),To_Text('RHS INPUT'!C809),CHAR(34),CHAR(44)))"),"""Exile_Car_Offroad_Guerilla11"",")</f>
        <v>"Exile_Car_Offroad_Guerilla11",</v>
      </c>
      <c r="B809" s="18" t="str">
        <f>if(isblank('RHS INPUT'!A809),,CONCATENATE("/*  ",'RHS INPUT'!A809,"  */"))</f>
        <v/>
      </c>
      <c r="C809" s="22" t="str">
        <f>if(isblank(A809),,if('RHS INPUT'!D809=1,Concatenate("class ",'RHS INPUT'!C809),))</f>
        <v>class Exile_Car_Offroad_Guerilla11</v>
      </c>
      <c r="D809" s="27" t="str">
        <f>if(ISBLANK(A809),,if('RHS INPUT'!D809=1,CONCATENATE("{quality = ",'RHS INPUT'!G809,"; price = ",Round('RHS INPUT'!M809),";};"),""))</f>
        <v>{quality = 1; price = 15000;};</v>
      </c>
      <c r="E809" t="str">
        <f>IFERROR(__xludf.DUMMYFUNCTION("if(ISBLANK(A809),, if('RHS INPUT'!E809=1,CONCATENATE(CHAR(34),To_Text('RHS INPUT'!C809),CHAR(34),CHAR(44)),""""))"),"")</f>
        <v/>
      </c>
      <c r="F809" s="28" t="str">
        <f>IF(isblank(A809) ,Concatenate("&gt; ",'RHS INPUT'!A809) , if('RHS INPUT'!F809=1,CONCATENATE(round('RHS INPUT'!N809),Char(44)," ",'RHS INPUT'!C809),""))</f>
        <v/>
      </c>
    </row>
    <row r="810" ht="12.0" customHeight="1">
      <c r="A810" s="1" t="str">
        <f>IFERROR(__xludf.DUMMYFUNCTION("if(ISBLANK('RHS INPUT'!C810),,CONCATENATE(CHAR(34),To_Text('RHS INPUT'!C810),CHAR(34),CHAR(44)))"),"""Exile_Car_Offroad_Guerilla12"",")</f>
        <v>"Exile_Car_Offroad_Guerilla12",</v>
      </c>
      <c r="B810" s="18" t="str">
        <f>if(isblank('RHS INPUT'!A810),,CONCATENATE("/*  ",'RHS INPUT'!A810,"  */"))</f>
        <v/>
      </c>
      <c r="C810" s="22" t="str">
        <f>if(isblank(A810),,if('RHS INPUT'!D810=1,Concatenate("class ",'RHS INPUT'!C810),))</f>
        <v>class Exile_Car_Offroad_Guerilla12</v>
      </c>
      <c r="D810" s="27" t="str">
        <f>if(ISBLANK(A810),,if('RHS INPUT'!D810=1,CONCATENATE("{quality = ",'RHS INPUT'!G810,"; price = ",Round('RHS INPUT'!M810),";};"),""))</f>
        <v>{quality = 1; price = 15000;};</v>
      </c>
      <c r="E810" t="str">
        <f>IFERROR(__xludf.DUMMYFUNCTION("if(ISBLANK(A810),, if('RHS INPUT'!E810=1,CONCATENATE(CHAR(34),To_Text('RHS INPUT'!C810),CHAR(34),CHAR(44)),""""))"),"")</f>
        <v/>
      </c>
      <c r="F810" s="28" t="str">
        <f>IF(isblank(A810) ,Concatenate("&gt; ",'RHS INPUT'!A810) , if('RHS INPUT'!F810=1,CONCATENATE(round('RHS INPUT'!N810),Char(44)," ",'RHS INPUT'!C810),""))</f>
        <v/>
      </c>
    </row>
    <row r="811" ht="12.0" customHeight="1">
      <c r="A811" s="1" t="str">
        <f>IFERROR(__xludf.DUMMYFUNCTION("if(ISBLANK('RHS INPUT'!C811),,CONCATENATE(CHAR(34),To_Text('RHS INPUT'!C811),CHAR(34),CHAR(44)))"),"""Exile_Car_Offroad_Repair_Civillian"",")</f>
        <v>"Exile_Car_Offroad_Repair_Civillian",</v>
      </c>
      <c r="B811" s="18" t="str">
        <f>if(isblank('RHS INPUT'!A811),,CONCATENATE("/*  ",'RHS INPUT'!A811,"  */"))</f>
        <v/>
      </c>
      <c r="C811" s="22" t="str">
        <f>if(isblank(A811),,if('RHS INPUT'!D811=1,Concatenate("class ",'RHS INPUT'!C811),))</f>
        <v>class Exile_Car_Offroad_Repair_Civillian</v>
      </c>
      <c r="D811" s="27" t="str">
        <f>if(ISBLANK(A811),,if('RHS INPUT'!D811=1,CONCATENATE("{quality = ",'RHS INPUT'!G811,"; price = ",Round('RHS INPUT'!M811),";};"),""))</f>
        <v>{quality = 1; price = 22000;};</v>
      </c>
      <c r="E811" t="str">
        <f>IFERROR(__xludf.DUMMYFUNCTION("if(ISBLANK(A811),, if('RHS INPUT'!E811=1,CONCATENATE(CHAR(34),To_Text('RHS INPUT'!C811),CHAR(34),CHAR(44)),""""))"),"""Exile_Car_Offroad_Repair_Civillian"",")</f>
        <v>"Exile_Car_Offroad_Repair_Civillian",</v>
      </c>
      <c r="F811" s="28" t="str">
        <f>IF(isblank(A811) ,Concatenate("&gt; ",'RHS INPUT'!A811) , if('RHS INPUT'!F811=1,CONCATENATE(round('RHS INPUT'!N811),Char(44)," ",'RHS INPUT'!C811),""))</f>
        <v/>
      </c>
    </row>
    <row r="812" ht="12.0" customHeight="1">
      <c r="A812" s="1" t="str">
        <f>IFERROR(__xludf.DUMMYFUNCTION("if(ISBLANK('RHS INPUT'!C812),,CONCATENATE(CHAR(34),To_Text('RHS INPUT'!C812),CHAR(34),CHAR(44)))"),"""Exile_Car_Offroad_Repair_Red"",")</f>
        <v>"Exile_Car_Offroad_Repair_Red",</v>
      </c>
      <c r="B812" s="18" t="str">
        <f>if(isblank('RHS INPUT'!A812),,CONCATENATE("/*  ",'RHS INPUT'!A812,"  */"))</f>
        <v/>
      </c>
      <c r="C812" s="22" t="str">
        <f>if(isblank(A812),,if('RHS INPUT'!D812=1,Concatenate("class ",'RHS INPUT'!C812),))</f>
        <v>class Exile_Car_Offroad_Repair_Red</v>
      </c>
      <c r="D812" s="27" t="str">
        <f>if(ISBLANK(A812),,if('RHS INPUT'!D812=1,CONCATENATE("{quality = ",'RHS INPUT'!G812,"; price = ",Round('RHS INPUT'!M812),";};"),""))</f>
        <v>{quality = 1; price = 22000;};</v>
      </c>
      <c r="E812" t="str">
        <f>IFERROR(__xludf.DUMMYFUNCTION("if(ISBLANK(A812),, if('RHS INPUT'!E812=1,CONCATENATE(CHAR(34),To_Text('RHS INPUT'!C812),CHAR(34),CHAR(44)),""""))"),"")</f>
        <v/>
      </c>
      <c r="F812" s="28" t="str">
        <f>IF(isblank(A812) ,Concatenate("&gt; ",'RHS INPUT'!A812) , if('RHS INPUT'!F812=1,CONCATENATE(round('RHS INPUT'!N812),Char(44)," ",'RHS INPUT'!C812),""))</f>
        <v/>
      </c>
    </row>
    <row r="813" ht="12.0" customHeight="1">
      <c r="A813" s="1" t="str">
        <f>IFERROR(__xludf.DUMMYFUNCTION("if(ISBLANK('RHS INPUT'!C813),,CONCATENATE(CHAR(34),To_Text('RHS INPUT'!C813),CHAR(34),CHAR(44)))"),"""Exile_Car_Offroad_Repair_Beige"",")</f>
        <v>"Exile_Car_Offroad_Repair_Beige",</v>
      </c>
      <c r="B813" s="18" t="str">
        <f>if(isblank('RHS INPUT'!A813),,CONCATENATE("/*  ",'RHS INPUT'!A813,"  */"))</f>
        <v/>
      </c>
      <c r="C813" s="22" t="str">
        <f>if(isblank(A813),,if('RHS INPUT'!D813=1,Concatenate("class ",'RHS INPUT'!C813),))</f>
        <v>class Exile_Car_Offroad_Repair_Beige</v>
      </c>
      <c r="D813" s="27" t="str">
        <f>if(ISBLANK(A813),,if('RHS INPUT'!D813=1,CONCATENATE("{quality = ",'RHS INPUT'!G813,"; price = ",Round('RHS INPUT'!M813),";};"),""))</f>
        <v>{quality = 1; price = 22000;};</v>
      </c>
      <c r="E813" t="str">
        <f>IFERROR(__xludf.DUMMYFUNCTION("if(ISBLANK(A813),, if('RHS INPUT'!E813=1,CONCATENATE(CHAR(34),To_Text('RHS INPUT'!C813),CHAR(34),CHAR(44)),""""))"),"")</f>
        <v/>
      </c>
      <c r="F813" s="28" t="str">
        <f>IF(isblank(A813) ,Concatenate("&gt; ",'RHS INPUT'!A813) , if('RHS INPUT'!F813=1,CONCATENATE(round('RHS INPUT'!N813),Char(44)," ",'RHS INPUT'!C813),""))</f>
        <v/>
      </c>
    </row>
    <row r="814" ht="12.0" customHeight="1">
      <c r="A814" s="1" t="str">
        <f>IFERROR(__xludf.DUMMYFUNCTION("if(ISBLANK('RHS INPUT'!C814),,CONCATENATE(CHAR(34),To_Text('RHS INPUT'!C814),CHAR(34),CHAR(44)))"),"""Exile_Car_Offroad_Repair_White"",")</f>
        <v>"Exile_Car_Offroad_Repair_White",</v>
      </c>
      <c r="B814" s="18" t="str">
        <f>if(isblank('RHS INPUT'!A814),,CONCATENATE("/*  ",'RHS INPUT'!A814,"  */"))</f>
        <v/>
      </c>
      <c r="C814" s="22" t="str">
        <f>if(isblank(A814),,if('RHS INPUT'!D814=1,Concatenate("class ",'RHS INPUT'!C814),))</f>
        <v>class Exile_Car_Offroad_Repair_White</v>
      </c>
      <c r="D814" s="27" t="str">
        <f>if(ISBLANK(A814),,if('RHS INPUT'!D814=1,CONCATENATE("{quality = ",'RHS INPUT'!G814,"; price = ",Round('RHS INPUT'!M814),";};"),""))</f>
        <v>{quality = 1; price = 22000;};</v>
      </c>
      <c r="E814" t="str">
        <f>IFERROR(__xludf.DUMMYFUNCTION("if(ISBLANK(A814),, if('RHS INPUT'!E814=1,CONCATENATE(CHAR(34),To_Text('RHS INPUT'!C814),CHAR(34),CHAR(44)),""""))"),"")</f>
        <v/>
      </c>
      <c r="F814" s="28" t="str">
        <f>IF(isblank(A814) ,Concatenate("&gt; ",'RHS INPUT'!A814) , if('RHS INPUT'!F814=1,CONCATENATE(round('RHS INPUT'!N814),Char(44)," ",'RHS INPUT'!C814),""))</f>
        <v/>
      </c>
    </row>
    <row r="815" ht="12.0" customHeight="1">
      <c r="A815" s="1" t="str">
        <f>IFERROR(__xludf.DUMMYFUNCTION("if(ISBLANK('RHS INPUT'!C815),,CONCATENATE(CHAR(34),To_Text('RHS INPUT'!C815),CHAR(34),CHAR(44)))"),"""Exile_Car_Offroad_Repair_Blue"",")</f>
        <v>"Exile_Car_Offroad_Repair_Blue",</v>
      </c>
      <c r="B815" s="18" t="str">
        <f>if(isblank('RHS INPUT'!A815),,CONCATENATE("/*  ",'RHS INPUT'!A815,"  */"))</f>
        <v/>
      </c>
      <c r="C815" s="22" t="str">
        <f>if(isblank(A815),,if('RHS INPUT'!D815=1,Concatenate("class ",'RHS INPUT'!C815),))</f>
        <v>class Exile_Car_Offroad_Repair_Blue</v>
      </c>
      <c r="D815" s="27" t="str">
        <f>if(ISBLANK(A815),,if('RHS INPUT'!D815=1,CONCATENATE("{quality = ",'RHS INPUT'!G815,"; price = ",Round('RHS INPUT'!M815),";};"),""))</f>
        <v>{quality = 1; price = 22000;};</v>
      </c>
      <c r="E815" t="str">
        <f>IFERROR(__xludf.DUMMYFUNCTION("if(ISBLANK(A815),, if('RHS INPUT'!E815=1,CONCATENATE(CHAR(34),To_Text('RHS INPUT'!C815),CHAR(34),CHAR(44)),""""))"),"")</f>
        <v/>
      </c>
      <c r="F815" s="28" t="str">
        <f>IF(isblank(A815) ,Concatenate("&gt; ",'RHS INPUT'!A815) , if('RHS INPUT'!F815=1,CONCATENATE(round('RHS INPUT'!N815),Char(44)," ",'RHS INPUT'!C815),""))</f>
        <v/>
      </c>
    </row>
    <row r="816" ht="12.0" customHeight="1">
      <c r="A816" s="1" t="str">
        <f>IFERROR(__xludf.DUMMYFUNCTION("if(ISBLANK('RHS INPUT'!C816),,CONCATENATE(CHAR(34),To_Text('RHS INPUT'!C816),CHAR(34),CHAR(44)))"),"""Exile_Car_Offroad_Repair_DarkRed"",")</f>
        <v>"Exile_Car_Offroad_Repair_DarkRed",</v>
      </c>
      <c r="B816" s="18" t="str">
        <f>if(isblank('RHS INPUT'!A816),,CONCATENATE("/*  ",'RHS INPUT'!A816,"  */"))</f>
        <v/>
      </c>
      <c r="C816" s="22" t="str">
        <f>if(isblank(A816),,if('RHS INPUT'!D816=1,Concatenate("class ",'RHS INPUT'!C816),))</f>
        <v>class Exile_Car_Offroad_Repair_DarkRed</v>
      </c>
      <c r="D816" s="27" t="str">
        <f>if(ISBLANK(A816),,if('RHS INPUT'!D816=1,CONCATENATE("{quality = ",'RHS INPUT'!G816,"; price = ",Round('RHS INPUT'!M816),";};"),""))</f>
        <v>{quality = 1; price = 22000;};</v>
      </c>
      <c r="E816" t="str">
        <f>IFERROR(__xludf.DUMMYFUNCTION("if(ISBLANK(A816),, if('RHS INPUT'!E816=1,CONCATENATE(CHAR(34),To_Text('RHS INPUT'!C816),CHAR(34),CHAR(44)),""""))"),"")</f>
        <v/>
      </c>
      <c r="F816" s="28" t="str">
        <f>IF(isblank(A816) ,Concatenate("&gt; ",'RHS INPUT'!A816) , if('RHS INPUT'!F816=1,CONCATENATE(round('RHS INPUT'!N816),Char(44)," ",'RHS INPUT'!C816),""))</f>
        <v/>
      </c>
    </row>
    <row r="817" ht="12.0" customHeight="1">
      <c r="A817" s="1" t="str">
        <f>IFERROR(__xludf.DUMMYFUNCTION("if(ISBLANK('RHS INPUT'!C817),,CONCATENATE(CHAR(34),To_Text('RHS INPUT'!C817),CHAR(34),CHAR(44)))"),"""Exile_Car_Offroad_Repair_BlueCustom"",")</f>
        <v>"Exile_Car_Offroad_Repair_BlueCustom",</v>
      </c>
      <c r="B817" s="18" t="str">
        <f>if(isblank('RHS INPUT'!A817),,CONCATENATE("/*  ",'RHS INPUT'!A817,"  */"))</f>
        <v/>
      </c>
      <c r="C817" s="22" t="str">
        <f>if(isblank(A817),,if('RHS INPUT'!D817=1,Concatenate("class ",'RHS INPUT'!C817),))</f>
        <v>class Exile_Car_Offroad_Repair_BlueCustom</v>
      </c>
      <c r="D817" s="27" t="str">
        <f>if(ISBLANK(A817),,if('RHS INPUT'!D817=1,CONCATENATE("{quality = ",'RHS INPUT'!G817,"; price = ",Round('RHS INPUT'!M817),";};"),""))</f>
        <v>{quality = 1; price = 22000;};</v>
      </c>
      <c r="E817" t="str">
        <f>IFERROR(__xludf.DUMMYFUNCTION("if(ISBLANK(A817),, if('RHS INPUT'!E817=1,CONCATENATE(CHAR(34),To_Text('RHS INPUT'!C817),CHAR(34),CHAR(44)),""""))"),"")</f>
        <v/>
      </c>
      <c r="F817" s="28" t="str">
        <f>IF(isblank(A817) ,Concatenate("&gt; ",'RHS INPUT'!A817) , if('RHS INPUT'!F817=1,CONCATENATE(round('RHS INPUT'!N817),Char(44)," ",'RHS INPUT'!C817),""))</f>
        <v/>
      </c>
    </row>
    <row r="818" ht="12.0" customHeight="1">
      <c r="A818" s="1" t="str">
        <f>IFERROR(__xludf.DUMMYFUNCTION("if(ISBLANK('RHS INPUT'!C818),,CONCATENATE(CHAR(34),To_Text('RHS INPUT'!C818),CHAR(34),CHAR(44)))"),"""Exile_Car_Offroad_Repair_Guerilla01"",")</f>
        <v>"Exile_Car_Offroad_Repair_Guerilla01",</v>
      </c>
      <c r="B818" s="18" t="str">
        <f>if(isblank('RHS INPUT'!A818),,CONCATENATE("/*  ",'RHS INPUT'!A818,"  */"))</f>
        <v/>
      </c>
      <c r="C818" s="22" t="str">
        <f>if(isblank(A818),,if('RHS INPUT'!D818=1,Concatenate("class ",'RHS INPUT'!C818),))</f>
        <v>class Exile_Car_Offroad_Repair_Guerilla01</v>
      </c>
      <c r="D818" s="27" t="str">
        <f>if(ISBLANK(A818),,if('RHS INPUT'!D818=1,CONCATENATE("{quality = ",'RHS INPUT'!G818,"; price = ",Round('RHS INPUT'!M818),";};"),""))</f>
        <v>{quality = 1; price = 22000;};</v>
      </c>
      <c r="E818" t="str">
        <f>IFERROR(__xludf.DUMMYFUNCTION("if(ISBLANK(A818),, if('RHS INPUT'!E818=1,CONCATENATE(CHAR(34),To_Text('RHS INPUT'!C818),CHAR(34),CHAR(44)),""""))"),"")</f>
        <v/>
      </c>
      <c r="F818" s="28" t="str">
        <f>IF(isblank(A818) ,Concatenate("&gt; ",'RHS INPUT'!A818) , if('RHS INPUT'!F818=1,CONCATENATE(round('RHS INPUT'!N818),Char(44)," ",'RHS INPUT'!C818),""))</f>
        <v/>
      </c>
    </row>
    <row r="819" ht="12.0" customHeight="1">
      <c r="A819" s="1" t="str">
        <f>IFERROR(__xludf.DUMMYFUNCTION("if(ISBLANK('RHS INPUT'!C819),,CONCATENATE(CHAR(34),To_Text('RHS INPUT'!C819),CHAR(34),CHAR(44)))"),"""Exile_Car_Offroad_Repair_Guerilla02"",")</f>
        <v>"Exile_Car_Offroad_Repair_Guerilla02",</v>
      </c>
      <c r="B819" s="18" t="str">
        <f>if(isblank('RHS INPUT'!A819),,CONCATENATE("/*  ",'RHS INPUT'!A819,"  */"))</f>
        <v/>
      </c>
      <c r="C819" s="22" t="str">
        <f>if(isblank(A819),,if('RHS INPUT'!D819=1,Concatenate("class ",'RHS INPUT'!C819),))</f>
        <v>class Exile_Car_Offroad_Repair_Guerilla02</v>
      </c>
      <c r="D819" s="27" t="str">
        <f>if(ISBLANK(A819),,if('RHS INPUT'!D819=1,CONCATENATE("{quality = ",'RHS INPUT'!G819,"; price = ",Round('RHS INPUT'!M819),";};"),""))</f>
        <v>{quality = 1; price = 22000;};</v>
      </c>
      <c r="E819" t="str">
        <f>IFERROR(__xludf.DUMMYFUNCTION("if(ISBLANK(A819),, if('RHS INPUT'!E819=1,CONCATENATE(CHAR(34),To_Text('RHS INPUT'!C819),CHAR(34),CHAR(44)),""""))"),"")</f>
        <v/>
      </c>
      <c r="F819" s="28" t="str">
        <f>IF(isblank(A819) ,Concatenate("&gt; ",'RHS INPUT'!A819) , if('RHS INPUT'!F819=1,CONCATENATE(round('RHS INPUT'!N819),Char(44)," ",'RHS INPUT'!C819),""))</f>
        <v/>
      </c>
    </row>
    <row r="820" ht="12.0" customHeight="1">
      <c r="A820" s="1" t="str">
        <f>IFERROR(__xludf.DUMMYFUNCTION("if(ISBLANK('RHS INPUT'!C820),,CONCATENATE(CHAR(34),To_Text('RHS INPUT'!C820),CHAR(34),CHAR(44)))"),"""Exile_Car_Offroad_Repair_Guerilla03"",")</f>
        <v>"Exile_Car_Offroad_Repair_Guerilla03",</v>
      </c>
      <c r="B820" s="18" t="str">
        <f>if(isblank('RHS INPUT'!A820),,CONCATENATE("/*  ",'RHS INPUT'!A820,"  */"))</f>
        <v/>
      </c>
      <c r="C820" s="22" t="str">
        <f>if(isblank(A820),,if('RHS INPUT'!D820=1,Concatenate("class ",'RHS INPUT'!C820),))</f>
        <v>class Exile_Car_Offroad_Repair_Guerilla03</v>
      </c>
      <c r="D820" s="27" t="str">
        <f>if(ISBLANK(A820),,if('RHS INPUT'!D820=1,CONCATENATE("{quality = ",'RHS INPUT'!G820,"; price = ",Round('RHS INPUT'!M820),";};"),""))</f>
        <v>{quality = 1; price = 22000;};</v>
      </c>
      <c r="E820" t="str">
        <f>IFERROR(__xludf.DUMMYFUNCTION("if(ISBLANK(A820),, if('RHS INPUT'!E820=1,CONCATENATE(CHAR(34),To_Text('RHS INPUT'!C820),CHAR(34),CHAR(44)),""""))"),"")</f>
        <v/>
      </c>
      <c r="F820" s="28" t="str">
        <f>IF(isblank(A820) ,Concatenate("&gt; ",'RHS INPUT'!A820) , if('RHS INPUT'!F820=1,CONCATENATE(round('RHS INPUT'!N820),Char(44)," ",'RHS INPUT'!C820),""))</f>
        <v/>
      </c>
    </row>
    <row r="821" ht="12.0" customHeight="1">
      <c r="A821" s="1" t="str">
        <f>IFERROR(__xludf.DUMMYFUNCTION("if(ISBLANK('RHS INPUT'!C821),,CONCATENATE(CHAR(34),To_Text('RHS INPUT'!C821),CHAR(34),CHAR(44)))"),"""Exile_Car_Offroad_Repair_Guerilla04"",")</f>
        <v>"Exile_Car_Offroad_Repair_Guerilla04",</v>
      </c>
      <c r="B821" s="18" t="str">
        <f>if(isblank('RHS INPUT'!A821),,CONCATENATE("/*  ",'RHS INPUT'!A821,"  */"))</f>
        <v/>
      </c>
      <c r="C821" s="22" t="str">
        <f>if(isblank(A821),,if('RHS INPUT'!D821=1,Concatenate("class ",'RHS INPUT'!C821),))</f>
        <v>class Exile_Car_Offroad_Repair_Guerilla04</v>
      </c>
      <c r="D821" s="27" t="str">
        <f>if(ISBLANK(A821),,if('RHS INPUT'!D821=1,CONCATENATE("{quality = ",'RHS INPUT'!G821,"; price = ",Round('RHS INPUT'!M821),";};"),""))</f>
        <v>{quality = 1; price = 22000;};</v>
      </c>
      <c r="E821" t="str">
        <f>IFERROR(__xludf.DUMMYFUNCTION("if(ISBLANK(A821),, if('RHS INPUT'!E821=1,CONCATENATE(CHAR(34),To_Text('RHS INPUT'!C821),CHAR(34),CHAR(44)),""""))"),"")</f>
        <v/>
      </c>
      <c r="F821" s="28" t="str">
        <f>IF(isblank(A821) ,Concatenate("&gt; ",'RHS INPUT'!A821) , if('RHS INPUT'!F821=1,CONCATENATE(round('RHS INPUT'!N821),Char(44)," ",'RHS INPUT'!C821),""))</f>
        <v/>
      </c>
    </row>
    <row r="822" ht="12.0" customHeight="1">
      <c r="A822" s="1" t="str">
        <f>IFERROR(__xludf.DUMMYFUNCTION("if(ISBLANK('RHS INPUT'!C822),,CONCATENATE(CHAR(34),To_Text('RHS INPUT'!C822),CHAR(34),CHAR(44)))"),"""Exile_Car_Offroad_Repair_Guerilla05"",")</f>
        <v>"Exile_Car_Offroad_Repair_Guerilla05",</v>
      </c>
      <c r="B822" s="18" t="str">
        <f>if(isblank('RHS INPUT'!A822),,CONCATENATE("/*  ",'RHS INPUT'!A822,"  */"))</f>
        <v/>
      </c>
      <c r="C822" s="22" t="str">
        <f>if(isblank(A822),,if('RHS INPUT'!D822=1,Concatenate("class ",'RHS INPUT'!C822),))</f>
        <v>class Exile_Car_Offroad_Repair_Guerilla05</v>
      </c>
      <c r="D822" s="27" t="str">
        <f>if(ISBLANK(A822),,if('RHS INPUT'!D822=1,CONCATENATE("{quality = ",'RHS INPUT'!G822,"; price = ",Round('RHS INPUT'!M822),";};"),""))</f>
        <v>{quality = 1; price = 22000;};</v>
      </c>
      <c r="E822" t="str">
        <f>IFERROR(__xludf.DUMMYFUNCTION("if(ISBLANK(A822),, if('RHS INPUT'!E822=1,CONCATENATE(CHAR(34),To_Text('RHS INPUT'!C822),CHAR(34),CHAR(44)),""""))"),"")</f>
        <v/>
      </c>
      <c r="F822" s="28" t="str">
        <f>IF(isblank(A822) ,Concatenate("&gt; ",'RHS INPUT'!A822) , if('RHS INPUT'!F822=1,CONCATENATE(round('RHS INPUT'!N822),Char(44)," ",'RHS INPUT'!C822),""))</f>
        <v/>
      </c>
    </row>
    <row r="823" ht="12.0" customHeight="1">
      <c r="A823" s="1" t="str">
        <f>IFERROR(__xludf.DUMMYFUNCTION("if(ISBLANK('RHS INPUT'!C823),,CONCATENATE(CHAR(34),To_Text('RHS INPUT'!C823),CHAR(34),CHAR(44)))"),"""Exile_Car_Offroad_Repair_Guerilla06"",")</f>
        <v>"Exile_Car_Offroad_Repair_Guerilla06",</v>
      </c>
      <c r="B823" s="18" t="str">
        <f>if(isblank('RHS INPUT'!A823),,CONCATENATE("/*  ",'RHS INPUT'!A823,"  */"))</f>
        <v/>
      </c>
      <c r="C823" s="22" t="str">
        <f>if(isblank(A823),,if('RHS INPUT'!D823=1,Concatenate("class ",'RHS INPUT'!C823),))</f>
        <v>class Exile_Car_Offroad_Repair_Guerilla06</v>
      </c>
      <c r="D823" s="27" t="str">
        <f>if(ISBLANK(A823),,if('RHS INPUT'!D823=1,CONCATENATE("{quality = ",'RHS INPUT'!G823,"; price = ",Round('RHS INPUT'!M823),";};"),""))</f>
        <v>{quality = 1; price = 22000;};</v>
      </c>
      <c r="E823" t="str">
        <f>IFERROR(__xludf.DUMMYFUNCTION("if(ISBLANK(A823),, if('RHS INPUT'!E823=1,CONCATENATE(CHAR(34),To_Text('RHS INPUT'!C823),CHAR(34),CHAR(44)),""""))"),"")</f>
        <v/>
      </c>
      <c r="F823" s="28" t="str">
        <f>IF(isblank(A823) ,Concatenate("&gt; ",'RHS INPUT'!A823) , if('RHS INPUT'!F823=1,CONCATENATE(round('RHS INPUT'!N823),Char(44)," ",'RHS INPUT'!C823),""))</f>
        <v/>
      </c>
    </row>
    <row r="824" ht="12.0" customHeight="1">
      <c r="A824" s="1" t="str">
        <f>IFERROR(__xludf.DUMMYFUNCTION("if(ISBLANK('RHS INPUT'!C824),,CONCATENATE(CHAR(34),To_Text('RHS INPUT'!C824),CHAR(34),CHAR(44)))"),"""Exile_Car_Offroad_Repair_Guerilla07"",")</f>
        <v>"Exile_Car_Offroad_Repair_Guerilla07",</v>
      </c>
      <c r="B824" s="18" t="str">
        <f>if(isblank('RHS INPUT'!A824),,CONCATENATE("/*  ",'RHS INPUT'!A824,"  */"))</f>
        <v/>
      </c>
      <c r="C824" s="22" t="str">
        <f>if(isblank(A824),,if('RHS INPUT'!D824=1,Concatenate("class ",'RHS INPUT'!C824),))</f>
        <v>class Exile_Car_Offroad_Repair_Guerilla07</v>
      </c>
      <c r="D824" s="27" t="str">
        <f>if(ISBLANK(A824),,if('RHS INPUT'!D824=1,CONCATENATE("{quality = ",'RHS INPUT'!G824,"; price = ",Round('RHS INPUT'!M824),";};"),""))</f>
        <v>{quality = 1; price = 22000;};</v>
      </c>
      <c r="E824" t="str">
        <f>IFERROR(__xludf.DUMMYFUNCTION("if(ISBLANK(A824),, if('RHS INPUT'!E824=1,CONCATENATE(CHAR(34),To_Text('RHS INPUT'!C824),CHAR(34),CHAR(44)),""""))"),"")</f>
        <v/>
      </c>
      <c r="F824" s="28" t="str">
        <f>IF(isblank(A824) ,Concatenate("&gt; ",'RHS INPUT'!A824) , if('RHS INPUT'!F824=1,CONCATENATE(round('RHS INPUT'!N824),Char(44)," ",'RHS INPUT'!C824),""))</f>
        <v/>
      </c>
    </row>
    <row r="825" ht="12.0" customHeight="1">
      <c r="A825" s="1" t="str">
        <f>IFERROR(__xludf.DUMMYFUNCTION("if(ISBLANK('RHS INPUT'!C825),,CONCATENATE(CHAR(34),To_Text('RHS INPUT'!C825),CHAR(34),CHAR(44)))"),"""Exile_Car_Offroad_Repair_Guerilla08"",")</f>
        <v>"Exile_Car_Offroad_Repair_Guerilla08",</v>
      </c>
      <c r="B825" s="18" t="str">
        <f>if(isblank('RHS INPUT'!A825),,CONCATENATE("/*  ",'RHS INPUT'!A825,"  */"))</f>
        <v/>
      </c>
      <c r="C825" s="22" t="str">
        <f>if(isblank(A825),,if('RHS INPUT'!D825=1,Concatenate("class ",'RHS INPUT'!C825),))</f>
        <v>class Exile_Car_Offroad_Repair_Guerilla08</v>
      </c>
      <c r="D825" s="27" t="str">
        <f>if(ISBLANK(A825),,if('RHS INPUT'!D825=1,CONCATENATE("{quality = ",'RHS INPUT'!G825,"; price = ",Round('RHS INPUT'!M825),";};"),""))</f>
        <v>{quality = 1; price = 22000;};</v>
      </c>
      <c r="E825" t="str">
        <f>IFERROR(__xludf.DUMMYFUNCTION("if(ISBLANK(A825),, if('RHS INPUT'!E825=1,CONCATENATE(CHAR(34),To_Text('RHS INPUT'!C825),CHAR(34),CHAR(44)),""""))"),"")</f>
        <v/>
      </c>
      <c r="F825" s="28" t="str">
        <f>IF(isblank(A825) ,Concatenate("&gt; ",'RHS INPUT'!A825) , if('RHS INPUT'!F825=1,CONCATENATE(round('RHS INPUT'!N825),Char(44)," ",'RHS INPUT'!C825),""))</f>
        <v/>
      </c>
    </row>
    <row r="826" ht="12.0" customHeight="1">
      <c r="A826" s="1" t="str">
        <f>IFERROR(__xludf.DUMMYFUNCTION("if(ISBLANK('RHS INPUT'!C826),,CONCATENATE(CHAR(34),To_Text('RHS INPUT'!C826),CHAR(34),CHAR(44)))"),"""Exile_Car_Offroad_Repair_Guerilla09"",")</f>
        <v>"Exile_Car_Offroad_Repair_Guerilla09",</v>
      </c>
      <c r="B826" s="18" t="str">
        <f>if(isblank('RHS INPUT'!A826),,CONCATENATE("/*  ",'RHS INPUT'!A826,"  */"))</f>
        <v/>
      </c>
      <c r="C826" s="22" t="str">
        <f>if(isblank(A826),,if('RHS INPUT'!D826=1,Concatenate("class ",'RHS INPUT'!C826),))</f>
        <v>class Exile_Car_Offroad_Repair_Guerilla09</v>
      </c>
      <c r="D826" s="27" t="str">
        <f>if(ISBLANK(A826),,if('RHS INPUT'!D826=1,CONCATENATE("{quality = ",'RHS INPUT'!G826,"; price = ",Round('RHS INPUT'!M826),";};"),""))</f>
        <v>{quality = 1; price = 22000;};</v>
      </c>
      <c r="E826" t="str">
        <f>IFERROR(__xludf.DUMMYFUNCTION("if(ISBLANK(A826),, if('RHS INPUT'!E826=1,CONCATENATE(CHAR(34),To_Text('RHS INPUT'!C826),CHAR(34),CHAR(44)),""""))"),"")</f>
        <v/>
      </c>
      <c r="F826" s="28" t="str">
        <f>IF(isblank(A826) ,Concatenate("&gt; ",'RHS INPUT'!A826) , if('RHS INPUT'!F826=1,CONCATENATE(round('RHS INPUT'!N826),Char(44)," ",'RHS INPUT'!C826),""))</f>
        <v/>
      </c>
    </row>
    <row r="827" ht="12.0" customHeight="1">
      <c r="A827" s="1" t="str">
        <f>IFERROR(__xludf.DUMMYFUNCTION("if(ISBLANK('RHS INPUT'!C827),,CONCATENATE(CHAR(34),To_Text('RHS INPUT'!C827),CHAR(34),CHAR(44)))"),"""Exile_Car_Offroad_Repair_Guerilla10"",")</f>
        <v>"Exile_Car_Offroad_Repair_Guerilla10",</v>
      </c>
      <c r="B827" s="18" t="str">
        <f>if(isblank('RHS INPUT'!A827),,CONCATENATE("/*  ",'RHS INPUT'!A827,"  */"))</f>
        <v/>
      </c>
      <c r="C827" s="22" t="str">
        <f>if(isblank(A827),,if('RHS INPUT'!D827=1,Concatenate("class ",'RHS INPUT'!C827),))</f>
        <v>class Exile_Car_Offroad_Repair_Guerilla10</v>
      </c>
      <c r="D827" s="27" t="str">
        <f>if(ISBLANK(A827),,if('RHS INPUT'!D827=1,CONCATENATE("{quality = ",'RHS INPUT'!G827,"; price = ",Round('RHS INPUT'!M827),";};"),""))</f>
        <v>{quality = 1; price = 22000;};</v>
      </c>
      <c r="E827" t="str">
        <f>IFERROR(__xludf.DUMMYFUNCTION("if(ISBLANK(A827),, if('RHS INPUT'!E827=1,CONCATENATE(CHAR(34),To_Text('RHS INPUT'!C827),CHAR(34),CHAR(44)),""""))"),"")</f>
        <v/>
      </c>
      <c r="F827" s="28" t="str">
        <f>IF(isblank(A827) ,Concatenate("&gt; ",'RHS INPUT'!A827) , if('RHS INPUT'!F827=1,CONCATENATE(round('RHS INPUT'!N827),Char(44)," ",'RHS INPUT'!C827),""))</f>
        <v/>
      </c>
    </row>
    <row r="828" ht="12.0" customHeight="1">
      <c r="A828" s="1" t="str">
        <f>IFERROR(__xludf.DUMMYFUNCTION("if(ISBLANK('RHS INPUT'!C828),,CONCATENATE(CHAR(34),To_Text('RHS INPUT'!C828),CHAR(34),CHAR(44)))"),"""Exile_Car_Offroad_Repair_Guerilla11"",")</f>
        <v>"Exile_Car_Offroad_Repair_Guerilla11",</v>
      </c>
      <c r="B828" s="18" t="str">
        <f>if(isblank('RHS INPUT'!A828),,CONCATENATE("/*  ",'RHS INPUT'!A828,"  */"))</f>
        <v/>
      </c>
      <c r="C828" s="22" t="str">
        <f>if(isblank(A828),,if('RHS INPUT'!D828=1,Concatenate("class ",'RHS INPUT'!C828),))</f>
        <v>class Exile_Car_Offroad_Repair_Guerilla11</v>
      </c>
      <c r="D828" s="27" t="str">
        <f>if(ISBLANK(A828),,if('RHS INPUT'!D828=1,CONCATENATE("{quality = ",'RHS INPUT'!G828,"; price = ",Round('RHS INPUT'!M828),";};"),""))</f>
        <v>{quality = 1; price = 22000;};</v>
      </c>
      <c r="E828" t="str">
        <f>IFERROR(__xludf.DUMMYFUNCTION("if(ISBLANK(A828),, if('RHS INPUT'!E828=1,CONCATENATE(CHAR(34),To_Text('RHS INPUT'!C828),CHAR(34),CHAR(44)),""""))"),"")</f>
        <v/>
      </c>
      <c r="F828" s="28" t="str">
        <f>IF(isblank(A828) ,Concatenate("&gt; ",'RHS INPUT'!A828) , if('RHS INPUT'!F828=1,CONCATENATE(round('RHS INPUT'!N828),Char(44)," ",'RHS INPUT'!C828),""))</f>
        <v/>
      </c>
    </row>
    <row r="829" ht="12.0" customHeight="1">
      <c r="A829" s="1" t="str">
        <f>IFERROR(__xludf.DUMMYFUNCTION("if(ISBLANK('RHS INPUT'!C829),,CONCATENATE(CHAR(34),To_Text('RHS INPUT'!C829),CHAR(34),CHAR(44)))"),"""Exile_Car_Offroad_Repair_Guerilla12"",")</f>
        <v>"Exile_Car_Offroad_Repair_Guerilla12",</v>
      </c>
      <c r="B829" s="18" t="str">
        <f>if(isblank('RHS INPUT'!A829),,CONCATENATE("/*  ",'RHS INPUT'!A829,"  */"))</f>
        <v/>
      </c>
      <c r="C829" s="22" t="str">
        <f>if(isblank(A829),,if('RHS INPUT'!D829=1,Concatenate("class ",'RHS INPUT'!C829),))</f>
        <v>class Exile_Car_Offroad_Repair_Guerilla12</v>
      </c>
      <c r="D829" s="27" t="str">
        <f>if(ISBLANK(A829),,if('RHS INPUT'!D829=1,CONCATENATE("{quality = ",'RHS INPUT'!G829,"; price = ",Round('RHS INPUT'!M829),";};"),""))</f>
        <v>{quality = 1; price = 22000;};</v>
      </c>
      <c r="E829" t="str">
        <f>IFERROR(__xludf.DUMMYFUNCTION("if(ISBLANK(A829),, if('RHS INPUT'!E829=1,CONCATENATE(CHAR(34),To_Text('RHS INPUT'!C829),CHAR(34),CHAR(44)),""""))"),"")</f>
        <v/>
      </c>
      <c r="F829" s="28" t="str">
        <f>IF(isblank(A829) ,Concatenate("&gt; ",'RHS INPUT'!A829) , if('RHS INPUT'!F829=1,CONCATENATE(round('RHS INPUT'!N829),Char(44)," ",'RHS INPUT'!C829),""))</f>
        <v/>
      </c>
    </row>
    <row r="830" ht="12.0" customHeight="1">
      <c r="A830" s="1" t="str">
        <f>IFERROR(__xludf.DUMMYFUNCTION("if(ISBLANK('RHS INPUT'!C830),,CONCATENATE(CHAR(34),To_Text('RHS INPUT'!C830),CHAR(34),CHAR(44)))"),"""Exile_Car_Van_Black"",")</f>
        <v>"Exile_Car_Van_Black",</v>
      </c>
      <c r="B830" s="18" t="str">
        <f>if(isblank('RHS INPUT'!A830),,CONCATENATE("/*  ",'RHS INPUT'!A830,"  */"))</f>
        <v/>
      </c>
      <c r="C830" s="22" t="str">
        <f>if(isblank(A830),,if('RHS INPUT'!D830=1,Concatenate("class ",'RHS INPUT'!C830),))</f>
        <v>class Exile_Car_Van_Black</v>
      </c>
      <c r="D830" s="27" t="str">
        <f>if(ISBLANK(A830),,if('RHS INPUT'!D830=1,CONCATENATE("{quality = ",'RHS INPUT'!G830,"; price = ",Round('RHS INPUT'!M830),";};"),""))</f>
        <v>{quality = 1; price = 14000;};</v>
      </c>
      <c r="E830" t="str">
        <f>IFERROR(__xludf.DUMMYFUNCTION("if(ISBLANK(A830),, if('RHS INPUT'!E830=1,CONCATENATE(CHAR(34),To_Text('RHS INPUT'!C830),CHAR(34),CHAR(44)),""""))"),"""Exile_Car_Van_Black"",")</f>
        <v>"Exile_Car_Van_Black",</v>
      </c>
      <c r="F830" s="28" t="str">
        <f>IF(isblank(A830) ,Concatenate("&gt; ",'RHS INPUT'!A830) , if('RHS INPUT'!F830=1,CONCATENATE(round('RHS INPUT'!N830),Char(44)," ",'RHS INPUT'!C830),""))</f>
        <v/>
      </c>
    </row>
    <row r="831" ht="12.0" customHeight="1">
      <c r="A831" s="1" t="str">
        <f>IFERROR(__xludf.DUMMYFUNCTION("if(ISBLANK('RHS INPUT'!C831),,CONCATENATE(CHAR(34),To_Text('RHS INPUT'!C831),CHAR(34),CHAR(44)))"),"""Exile_Car_Van_White"",")</f>
        <v>"Exile_Car_Van_White",</v>
      </c>
      <c r="B831" s="18" t="str">
        <f>if(isblank('RHS INPUT'!A831),,CONCATENATE("/*  ",'RHS INPUT'!A831,"  */"))</f>
        <v/>
      </c>
      <c r="C831" s="22" t="str">
        <f>if(isblank(A831),,if('RHS INPUT'!D831=1,Concatenate("class ",'RHS INPUT'!C831),))</f>
        <v>class Exile_Car_Van_White</v>
      </c>
      <c r="D831" s="27" t="str">
        <f>if(ISBLANK(A831),,if('RHS INPUT'!D831=1,CONCATENATE("{quality = ",'RHS INPUT'!G831,"; price = ",Round('RHS INPUT'!M831),";};"),""))</f>
        <v>{quality = 1; price = 14000;};</v>
      </c>
      <c r="E831" t="str">
        <f>IFERROR(__xludf.DUMMYFUNCTION("if(ISBLANK(A831),, if('RHS INPUT'!E831=1,CONCATENATE(CHAR(34),To_Text('RHS INPUT'!C831),CHAR(34),CHAR(44)),""""))"),"")</f>
        <v/>
      </c>
      <c r="F831" s="28" t="str">
        <f>IF(isblank(A831) ,Concatenate("&gt; ",'RHS INPUT'!A831) , if('RHS INPUT'!F831=1,CONCATENATE(round('RHS INPUT'!N831),Char(44)," ",'RHS INPUT'!C831),""))</f>
        <v/>
      </c>
    </row>
    <row r="832" ht="12.0" customHeight="1">
      <c r="A832" s="1" t="str">
        <f>IFERROR(__xludf.DUMMYFUNCTION("if(ISBLANK('RHS INPUT'!C832),,CONCATENATE(CHAR(34),To_Text('RHS INPUT'!C832),CHAR(34),CHAR(44)))"),"""Exile_Car_Van_Red"",")</f>
        <v>"Exile_Car_Van_Red",</v>
      </c>
      <c r="B832" s="18" t="str">
        <f>if(isblank('RHS INPUT'!A832),,CONCATENATE("/*  ",'RHS INPUT'!A832,"  */"))</f>
        <v/>
      </c>
      <c r="C832" s="22" t="str">
        <f>if(isblank(A832),,if('RHS INPUT'!D832=1,Concatenate("class ",'RHS INPUT'!C832),))</f>
        <v>class Exile_Car_Van_Red</v>
      </c>
      <c r="D832" s="27" t="str">
        <f>if(ISBLANK(A832),,if('RHS INPUT'!D832=1,CONCATENATE("{quality = ",'RHS INPUT'!G832,"; price = ",Round('RHS INPUT'!M832),";};"),""))</f>
        <v>{quality = 1; price = 14000;};</v>
      </c>
      <c r="E832" t="str">
        <f>IFERROR(__xludf.DUMMYFUNCTION("if(ISBLANK(A832),, if('RHS INPUT'!E832=1,CONCATENATE(CHAR(34),To_Text('RHS INPUT'!C832),CHAR(34),CHAR(44)),""""))"),"")</f>
        <v/>
      </c>
      <c r="F832" s="28" t="str">
        <f>IF(isblank(A832) ,Concatenate("&gt; ",'RHS INPUT'!A832) , if('RHS INPUT'!F832=1,CONCATENATE(round('RHS INPUT'!N832),Char(44)," ",'RHS INPUT'!C832),""))</f>
        <v/>
      </c>
    </row>
    <row r="833" ht="12.0" customHeight="1">
      <c r="A833" s="1" t="str">
        <f>IFERROR(__xludf.DUMMYFUNCTION("if(ISBLANK('RHS INPUT'!C833),,CONCATENATE(CHAR(34),To_Text('RHS INPUT'!C833),CHAR(34),CHAR(44)))"),"""Exile_Car_Van_Guerilla01"",")</f>
        <v>"Exile_Car_Van_Guerilla01",</v>
      </c>
      <c r="B833" s="18" t="str">
        <f>if(isblank('RHS INPUT'!A833),,CONCATENATE("/*  ",'RHS INPUT'!A833,"  */"))</f>
        <v/>
      </c>
      <c r="C833" s="22" t="str">
        <f>if(isblank(A833),,if('RHS INPUT'!D833=1,Concatenate("class ",'RHS INPUT'!C833),))</f>
        <v>class Exile_Car_Van_Guerilla01</v>
      </c>
      <c r="D833" s="27" t="str">
        <f>if(ISBLANK(A833),,if('RHS INPUT'!D833=1,CONCATENATE("{quality = ",'RHS INPUT'!G833,"; price = ",Round('RHS INPUT'!M833),";};"),""))</f>
        <v>{quality = 1; price = 14000;};</v>
      </c>
      <c r="E833" t="str">
        <f>IFERROR(__xludf.DUMMYFUNCTION("if(ISBLANK(A833),, if('RHS INPUT'!E833=1,CONCATENATE(CHAR(34),To_Text('RHS INPUT'!C833),CHAR(34),CHAR(44)),""""))"),"")</f>
        <v/>
      </c>
      <c r="F833" s="28" t="str">
        <f>IF(isblank(A833) ,Concatenate("&gt; ",'RHS INPUT'!A833) , if('RHS INPUT'!F833=1,CONCATENATE(round('RHS INPUT'!N833),Char(44)," ",'RHS INPUT'!C833),""))</f>
        <v/>
      </c>
    </row>
    <row r="834" ht="12.0" customHeight="1">
      <c r="A834" s="1" t="str">
        <f>IFERROR(__xludf.DUMMYFUNCTION("if(ISBLANK('RHS INPUT'!C834),,CONCATENATE(CHAR(34),To_Text('RHS INPUT'!C834),CHAR(34),CHAR(44)))"),"""Exile_Car_Van_Guerilla02"",")</f>
        <v>"Exile_Car_Van_Guerilla02",</v>
      </c>
      <c r="B834" s="18" t="str">
        <f>if(isblank('RHS INPUT'!A834),,CONCATENATE("/*  ",'RHS INPUT'!A834,"  */"))</f>
        <v/>
      </c>
      <c r="C834" s="22" t="str">
        <f>if(isblank(A834),,if('RHS INPUT'!D834=1,Concatenate("class ",'RHS INPUT'!C834),))</f>
        <v>class Exile_Car_Van_Guerilla02</v>
      </c>
      <c r="D834" s="27" t="str">
        <f>if(ISBLANK(A834),,if('RHS INPUT'!D834=1,CONCATENATE("{quality = ",'RHS INPUT'!G834,"; price = ",Round('RHS INPUT'!M834),";};"),""))</f>
        <v>{quality = 1; price = 14000;};</v>
      </c>
      <c r="E834" t="str">
        <f>IFERROR(__xludf.DUMMYFUNCTION("if(ISBLANK(A834),, if('RHS INPUT'!E834=1,CONCATENATE(CHAR(34),To_Text('RHS INPUT'!C834),CHAR(34),CHAR(44)),""""))"),"")</f>
        <v/>
      </c>
      <c r="F834" s="28" t="str">
        <f>IF(isblank(A834) ,Concatenate("&gt; ",'RHS INPUT'!A834) , if('RHS INPUT'!F834=1,CONCATENATE(round('RHS INPUT'!N834),Char(44)," ",'RHS INPUT'!C834),""))</f>
        <v/>
      </c>
    </row>
    <row r="835" ht="12.0" customHeight="1">
      <c r="A835" s="1" t="str">
        <f>IFERROR(__xludf.DUMMYFUNCTION("if(ISBLANK('RHS INPUT'!C835),,CONCATENATE(CHAR(34),To_Text('RHS INPUT'!C835),CHAR(34),CHAR(44)))"),"""Exile_Car_Van_Guerilla03"",")</f>
        <v>"Exile_Car_Van_Guerilla03",</v>
      </c>
      <c r="B835" s="18" t="str">
        <f>if(isblank('RHS INPUT'!A835),,CONCATENATE("/*  ",'RHS INPUT'!A835,"  */"))</f>
        <v/>
      </c>
      <c r="C835" s="22" t="str">
        <f>if(isblank(A835),,if('RHS INPUT'!D835=1,Concatenate("class ",'RHS INPUT'!C835),))</f>
        <v>class Exile_Car_Van_Guerilla03</v>
      </c>
      <c r="D835" s="27" t="str">
        <f>if(ISBLANK(A835),,if('RHS INPUT'!D835=1,CONCATENATE("{quality = ",'RHS INPUT'!G835,"; price = ",Round('RHS INPUT'!M835),";};"),""))</f>
        <v>{quality = 1; price = 14000;};</v>
      </c>
      <c r="E835" t="str">
        <f>IFERROR(__xludf.DUMMYFUNCTION("if(ISBLANK(A835),, if('RHS INPUT'!E835=1,CONCATENATE(CHAR(34),To_Text('RHS INPUT'!C835),CHAR(34),CHAR(44)),""""))"),"")</f>
        <v/>
      </c>
      <c r="F835" s="28" t="str">
        <f>IF(isblank(A835) ,Concatenate("&gt; ",'RHS INPUT'!A835) , if('RHS INPUT'!F835=1,CONCATENATE(round('RHS INPUT'!N835),Char(44)," ",'RHS INPUT'!C835),""))</f>
        <v/>
      </c>
    </row>
    <row r="836" ht="12.0" customHeight="1">
      <c r="A836" s="1" t="str">
        <f>IFERROR(__xludf.DUMMYFUNCTION("if(ISBLANK('RHS INPUT'!C836),,CONCATENATE(CHAR(34),To_Text('RHS INPUT'!C836),CHAR(34),CHAR(44)))"),"""Exile_Car_Van_Guerilla04"",")</f>
        <v>"Exile_Car_Van_Guerilla04",</v>
      </c>
      <c r="B836" s="18" t="str">
        <f>if(isblank('RHS INPUT'!A836),,CONCATENATE("/*  ",'RHS INPUT'!A836,"  */"))</f>
        <v/>
      </c>
      <c r="C836" s="22" t="str">
        <f>if(isblank(A836),,if('RHS INPUT'!D836=1,Concatenate("class ",'RHS INPUT'!C836),))</f>
        <v>class Exile_Car_Van_Guerilla04</v>
      </c>
      <c r="D836" s="27" t="str">
        <f>if(ISBLANK(A836),,if('RHS INPUT'!D836=1,CONCATENATE("{quality = ",'RHS INPUT'!G836,"; price = ",Round('RHS INPUT'!M836),";};"),""))</f>
        <v>{quality = 1; price = 14000;};</v>
      </c>
      <c r="E836" t="str">
        <f>IFERROR(__xludf.DUMMYFUNCTION("if(ISBLANK(A836),, if('RHS INPUT'!E836=1,CONCATENATE(CHAR(34),To_Text('RHS INPUT'!C836),CHAR(34),CHAR(44)),""""))"),"")</f>
        <v/>
      </c>
      <c r="F836" s="28" t="str">
        <f>IF(isblank(A836) ,Concatenate("&gt; ",'RHS INPUT'!A836) , if('RHS INPUT'!F836=1,CONCATENATE(round('RHS INPUT'!N836),Char(44)," ",'RHS INPUT'!C836),""))</f>
        <v/>
      </c>
    </row>
    <row r="837" ht="12.0" customHeight="1">
      <c r="A837" s="1" t="str">
        <f>IFERROR(__xludf.DUMMYFUNCTION("if(ISBLANK('RHS INPUT'!C837),,CONCATENATE(CHAR(34),To_Text('RHS INPUT'!C837),CHAR(34),CHAR(44)))"),"""Exile_Car_Van_Guerilla05"",")</f>
        <v>"Exile_Car_Van_Guerilla05",</v>
      </c>
      <c r="B837" s="18" t="str">
        <f>if(isblank('RHS INPUT'!A837),,CONCATENATE("/*  ",'RHS INPUT'!A837,"  */"))</f>
        <v/>
      </c>
      <c r="C837" s="22" t="str">
        <f>if(isblank(A837),,if('RHS INPUT'!D837=1,Concatenate("class ",'RHS INPUT'!C837),))</f>
        <v>class Exile_Car_Van_Guerilla05</v>
      </c>
      <c r="D837" s="27" t="str">
        <f>if(ISBLANK(A837),,if('RHS INPUT'!D837=1,CONCATENATE("{quality = ",'RHS INPUT'!G837,"; price = ",Round('RHS INPUT'!M837),";};"),""))</f>
        <v>{quality = 1; price = 14000;};</v>
      </c>
      <c r="E837" t="str">
        <f>IFERROR(__xludf.DUMMYFUNCTION("if(ISBLANK(A837),, if('RHS INPUT'!E837=1,CONCATENATE(CHAR(34),To_Text('RHS INPUT'!C837),CHAR(34),CHAR(44)),""""))"),"")</f>
        <v/>
      </c>
      <c r="F837" s="28" t="str">
        <f>IF(isblank(A837) ,Concatenate("&gt; ",'RHS INPUT'!A837) , if('RHS INPUT'!F837=1,CONCATENATE(round('RHS INPUT'!N837),Char(44)," ",'RHS INPUT'!C837),""))</f>
        <v/>
      </c>
    </row>
    <row r="838" ht="12.0" customHeight="1">
      <c r="A838" s="1" t="str">
        <f>IFERROR(__xludf.DUMMYFUNCTION("if(ISBLANK('RHS INPUT'!C838),,CONCATENATE(CHAR(34),To_Text('RHS INPUT'!C838),CHAR(34),CHAR(44)))"),"""Exile_Car_Van_Guerilla06"",")</f>
        <v>"Exile_Car_Van_Guerilla06",</v>
      </c>
      <c r="B838" s="18" t="str">
        <f>if(isblank('RHS INPUT'!A838),,CONCATENATE("/*  ",'RHS INPUT'!A838,"  */"))</f>
        <v/>
      </c>
      <c r="C838" s="22" t="str">
        <f>if(isblank(A838),,if('RHS INPUT'!D838=1,Concatenate("class ",'RHS INPUT'!C838),))</f>
        <v>class Exile_Car_Van_Guerilla06</v>
      </c>
      <c r="D838" s="27" t="str">
        <f>if(ISBLANK(A838),,if('RHS INPUT'!D838=1,CONCATENATE("{quality = ",'RHS INPUT'!G838,"; price = ",Round('RHS INPUT'!M838),";};"),""))</f>
        <v>{quality = 1; price = 14000;};</v>
      </c>
      <c r="E838" t="str">
        <f>IFERROR(__xludf.DUMMYFUNCTION("if(ISBLANK(A838),, if('RHS INPUT'!E838=1,CONCATENATE(CHAR(34),To_Text('RHS INPUT'!C838),CHAR(34),CHAR(44)),""""))"),"")</f>
        <v/>
      </c>
      <c r="F838" s="28" t="str">
        <f>IF(isblank(A838) ,Concatenate("&gt; ",'RHS INPUT'!A838) , if('RHS INPUT'!F838=1,CONCATENATE(round('RHS INPUT'!N838),Char(44)," ",'RHS INPUT'!C838),""))</f>
        <v/>
      </c>
    </row>
    <row r="839" ht="12.0" customHeight="1">
      <c r="A839" s="1" t="str">
        <f>IFERROR(__xludf.DUMMYFUNCTION("if(ISBLANK('RHS INPUT'!C839),,CONCATENATE(CHAR(34),To_Text('RHS INPUT'!C839),CHAR(34),CHAR(44)))"),"""Exile_Car_Van_Guerilla07"",")</f>
        <v>"Exile_Car_Van_Guerilla07",</v>
      </c>
      <c r="B839" s="18" t="str">
        <f>if(isblank('RHS INPUT'!A839),,CONCATENATE("/*  ",'RHS INPUT'!A839,"  */"))</f>
        <v/>
      </c>
      <c r="C839" s="22" t="str">
        <f>if(isblank(A839),,if('RHS INPUT'!D839=1,Concatenate("class ",'RHS INPUT'!C839),))</f>
        <v>class Exile_Car_Van_Guerilla07</v>
      </c>
      <c r="D839" s="27" t="str">
        <f>if(ISBLANK(A839),,if('RHS INPUT'!D839=1,CONCATENATE("{quality = ",'RHS INPUT'!G839,"; price = ",Round('RHS INPUT'!M839),";};"),""))</f>
        <v>{quality = 1; price = 14000;};</v>
      </c>
      <c r="E839" t="str">
        <f>IFERROR(__xludf.DUMMYFUNCTION("if(ISBLANK(A839),, if('RHS INPUT'!E839=1,CONCATENATE(CHAR(34),To_Text('RHS INPUT'!C839),CHAR(34),CHAR(44)),""""))"),"")</f>
        <v/>
      </c>
      <c r="F839" s="28" t="str">
        <f>IF(isblank(A839) ,Concatenate("&gt; ",'RHS INPUT'!A839) , if('RHS INPUT'!F839=1,CONCATENATE(round('RHS INPUT'!N839),Char(44)," ",'RHS INPUT'!C839),""))</f>
        <v/>
      </c>
    </row>
    <row r="840" ht="12.0" customHeight="1">
      <c r="A840" s="1" t="str">
        <f>IFERROR(__xludf.DUMMYFUNCTION("if(ISBLANK('RHS INPUT'!C840),,CONCATENATE(CHAR(34),To_Text('RHS INPUT'!C840),CHAR(34),CHAR(44)))"),"""Exile_Car_Van_Guerilla08"",")</f>
        <v>"Exile_Car_Van_Guerilla08",</v>
      </c>
      <c r="B840" s="18" t="str">
        <f>if(isblank('RHS INPUT'!A840),,CONCATENATE("/*  ",'RHS INPUT'!A840,"  */"))</f>
        <v/>
      </c>
      <c r="C840" s="22" t="str">
        <f>if(isblank(A840),,if('RHS INPUT'!D840=1,Concatenate("class ",'RHS INPUT'!C840),))</f>
        <v>class Exile_Car_Van_Guerilla08</v>
      </c>
      <c r="D840" s="27" t="str">
        <f>if(ISBLANK(A840),,if('RHS INPUT'!D840=1,CONCATENATE("{quality = ",'RHS INPUT'!G840,"; price = ",Round('RHS INPUT'!M840),";};"),""))</f>
        <v>{quality = 1; price = 14000;};</v>
      </c>
      <c r="E840" t="str">
        <f>IFERROR(__xludf.DUMMYFUNCTION("if(ISBLANK(A840),, if('RHS INPUT'!E840=1,CONCATENATE(CHAR(34),To_Text('RHS INPUT'!C840),CHAR(34),CHAR(44)),""""))"),"")</f>
        <v/>
      </c>
      <c r="F840" s="28" t="str">
        <f>IF(isblank(A840) ,Concatenate("&gt; ",'RHS INPUT'!A840) , if('RHS INPUT'!F840=1,CONCATENATE(round('RHS INPUT'!N840),Char(44)," ",'RHS INPUT'!C840),""))</f>
        <v/>
      </c>
    </row>
    <row r="841" ht="12.0" customHeight="1">
      <c r="A841" s="1" t="str">
        <f>IFERROR(__xludf.DUMMYFUNCTION("if(ISBLANK('RHS INPUT'!C841),,CONCATENATE(CHAR(34),To_Text('RHS INPUT'!C841),CHAR(34),CHAR(44)))"),"""rhs_tigr_vdv"",")</f>
        <v>"rhs_tigr_vdv",</v>
      </c>
      <c r="B841" s="18" t="str">
        <f>if(isblank('RHS INPUT'!A841),,CONCATENATE("/*  ",'RHS INPUT'!A841,"  */"))</f>
        <v/>
      </c>
      <c r="C841" s="22" t="str">
        <f>if(isblank(A841),,if('RHS INPUT'!D841=1,Concatenate("class ",'RHS INPUT'!C841),))</f>
        <v>class rhs_tigr_vdv</v>
      </c>
      <c r="D841" s="27" t="str">
        <f>if(ISBLANK(A841),,if('RHS INPUT'!D841=1,CONCATENATE("{quality = ",'RHS INPUT'!G841,"; price = ",Round('RHS INPUT'!M841),";};"),""))</f>
        <v>{quality = 1; price = 22000;};</v>
      </c>
      <c r="E841" t="str">
        <f>IFERROR(__xludf.DUMMYFUNCTION("if(ISBLANK(A841),, if('RHS INPUT'!E841=1,CONCATENATE(CHAR(34),To_Text('RHS INPUT'!C841),CHAR(34),CHAR(44)),""""))"),"""rhs_tigr_vdv"",")</f>
        <v>"rhs_tigr_vdv",</v>
      </c>
      <c r="F841" s="28" t="str">
        <f>IF(isblank(A841) ,Concatenate("&gt; ",'RHS INPUT'!A841) , if('RHS INPUT'!F841=1,CONCATENATE(round('RHS INPUT'!N841),Char(44)," ",'RHS INPUT'!C841),""))</f>
        <v/>
      </c>
    </row>
    <row r="842" ht="12.0" customHeight="1">
      <c r="A842" s="1" t="str">
        <f>IFERROR(__xludf.DUMMYFUNCTION("if(ISBLANK('RHS INPUT'!C842),,CONCATENATE(CHAR(34),To_Text('RHS INPUT'!C842),CHAR(34),CHAR(44)))"),"""rhs_tigr_3camo_vdv"",")</f>
        <v>"rhs_tigr_3camo_vdv",</v>
      </c>
      <c r="B842" s="18" t="str">
        <f>if(isblank('RHS INPUT'!A842),,CONCATENATE("/*  ",'RHS INPUT'!A842,"  */"))</f>
        <v/>
      </c>
      <c r="C842" s="22" t="str">
        <f>if(isblank(A842),,if('RHS INPUT'!D842=1,Concatenate("class ",'RHS INPUT'!C842),))</f>
        <v>class rhs_tigr_3camo_vdv</v>
      </c>
      <c r="D842" s="27" t="str">
        <f>if(ISBLANK(A842),,if('RHS INPUT'!D842=1,CONCATENATE("{quality = ",'RHS INPUT'!G842,"; price = ",Round('RHS INPUT'!M842),";};"),""))</f>
        <v>{quality = 1; price = 23000;};</v>
      </c>
      <c r="E842" t="str">
        <f>IFERROR(__xludf.DUMMYFUNCTION("if(ISBLANK(A842),, if('RHS INPUT'!E842=1,CONCATENATE(CHAR(34),To_Text('RHS INPUT'!C842),CHAR(34),CHAR(44)),""""))"),"""rhs_tigr_3camo_vdv"",")</f>
        <v>"rhs_tigr_3camo_vdv",</v>
      </c>
      <c r="F842" s="28" t="str">
        <f>IF(isblank(A842) ,Concatenate("&gt; ",'RHS INPUT'!A842) , if('RHS INPUT'!F842=1,CONCATENATE(round('RHS INPUT'!N842),Char(44)," ",'RHS INPUT'!C842),""))</f>
        <v/>
      </c>
    </row>
    <row r="843" ht="12.0" customHeight="1">
      <c r="A843" s="1" t="str">
        <f>IFERROR(__xludf.DUMMYFUNCTION("if(ISBLANK('RHS INPUT'!C843),,CONCATENATE(CHAR(34),To_Text('RHS INPUT'!C843),CHAR(34),CHAR(44)))"),"""rhs_tigr_ffv_vdv"",")</f>
        <v>"rhs_tigr_ffv_vdv",</v>
      </c>
      <c r="B843" s="18" t="str">
        <f>if(isblank('RHS INPUT'!A843),,CONCATENATE("/*  ",'RHS INPUT'!A843,"  */"))</f>
        <v/>
      </c>
      <c r="C843" s="22" t="str">
        <f>if(isblank(A843),,if('RHS INPUT'!D843=1,Concatenate("class ",'RHS INPUT'!C843),))</f>
        <v>class rhs_tigr_ffv_vdv</v>
      </c>
      <c r="D843" s="27" t="str">
        <f>if(ISBLANK(A843),,if('RHS INPUT'!D843=1,CONCATENATE("{quality = ",'RHS INPUT'!G843,"; price = ",Round('RHS INPUT'!M843),";};"),""))</f>
        <v>{quality = 1; price = 25000;};</v>
      </c>
      <c r="E843" t="str">
        <f>IFERROR(__xludf.DUMMYFUNCTION("if(ISBLANK(A843),, if('RHS INPUT'!E843=1,CONCATENATE(CHAR(34),To_Text('RHS INPUT'!C843),CHAR(34),CHAR(44)),""""))"),"""rhs_tigr_ffv_vdv"",")</f>
        <v>"rhs_tigr_ffv_vdv",</v>
      </c>
      <c r="F843" s="28" t="str">
        <f>IF(isblank(A843) ,Concatenate("&gt; ",'RHS INPUT'!A843) , if('RHS INPUT'!F843=1,CONCATENATE(round('RHS INPUT'!N843),Char(44)," ",'RHS INPUT'!C843),""))</f>
        <v/>
      </c>
    </row>
    <row r="844" ht="12.0" customHeight="1">
      <c r="A844" s="1" t="str">
        <f>IFERROR(__xludf.DUMMYFUNCTION("if(ISBLANK('RHS INPUT'!C844),,CONCATENATE(CHAR(34),To_Text('RHS INPUT'!C844),CHAR(34),CHAR(44)))"),"""rhs_tigr_ffv_3camo_vdv"",")</f>
        <v>"rhs_tigr_ffv_3camo_vdv",</v>
      </c>
      <c r="B844" s="18" t="str">
        <f>if(isblank('RHS INPUT'!A844),,CONCATENATE("/*  ",'RHS INPUT'!A844,"  */"))</f>
        <v/>
      </c>
      <c r="C844" s="22" t="str">
        <f>if(isblank(A844),,if('RHS INPUT'!D844=1,Concatenate("class ",'RHS INPUT'!C844),))</f>
        <v>class rhs_tigr_ffv_3camo_vdv</v>
      </c>
      <c r="D844" s="27" t="str">
        <f>if(ISBLANK(A844),,if('RHS INPUT'!D844=1,CONCATENATE("{quality = ",'RHS INPUT'!G844,"; price = ",Round('RHS INPUT'!M844),";};"),""))</f>
        <v>{quality = 1; price = 26000;};</v>
      </c>
      <c r="E844" t="str">
        <f>IFERROR(__xludf.DUMMYFUNCTION("if(ISBLANK(A844),, if('RHS INPUT'!E844=1,CONCATENATE(CHAR(34),To_Text('RHS INPUT'!C844),CHAR(34),CHAR(44)),""""))"),"""rhs_tigr_ffv_3camo_vdv"",")</f>
        <v>"rhs_tigr_ffv_3camo_vdv",</v>
      </c>
      <c r="F844" s="28" t="str">
        <f>IF(isblank(A844) ,Concatenate("&gt; ",'RHS INPUT'!A844) , if('RHS INPUT'!F844=1,CONCATENATE(round('RHS INPUT'!N844),Char(44)," ",'RHS INPUT'!C844),""))</f>
        <v/>
      </c>
    </row>
    <row r="845" ht="12.0" customHeight="1">
      <c r="A845" s="1" t="str">
        <f>IFERROR(__xludf.DUMMYFUNCTION("if(ISBLANK('RHS INPUT'!C845),,CONCATENATE(CHAR(34),To_Text('RHS INPUT'!C845),CHAR(34),CHAR(44)))"),"""rhsusf_m1025_d"",")</f>
        <v>"rhsusf_m1025_d",</v>
      </c>
      <c r="B845" s="18" t="str">
        <f>if(isblank('RHS INPUT'!A845),,CONCATENATE("/*  ",'RHS INPUT'!A845,"  */"))</f>
        <v/>
      </c>
      <c r="C845" s="22" t="str">
        <f>if(isblank(A845),,if('RHS INPUT'!D845=1,Concatenate("class ",'RHS INPUT'!C845),))</f>
        <v>class rhsusf_m1025_d</v>
      </c>
      <c r="D845" s="27" t="str">
        <f>if(ISBLANK(A845),,if('RHS INPUT'!D845=1,CONCATENATE("{quality = ",'RHS INPUT'!G845,"; price = ",Round('RHS INPUT'!M845),";};"),""))</f>
        <v>{quality = 1; price = 19000;};</v>
      </c>
      <c r="E845" t="str">
        <f>IFERROR(__xludf.DUMMYFUNCTION("if(ISBLANK(A845),, if('RHS INPUT'!E845=1,CONCATENATE(CHAR(34),To_Text('RHS INPUT'!C845),CHAR(34),CHAR(44)),""""))"),"""rhsusf_m1025_d"",")</f>
        <v>"rhsusf_m1025_d",</v>
      </c>
      <c r="F845" s="28" t="str">
        <f>IF(isblank(A845) ,Concatenate("&gt; ",'RHS INPUT'!A845) , if('RHS INPUT'!F845=1,CONCATENATE(round('RHS INPUT'!N845),Char(44)," ",'RHS INPUT'!C845),""))</f>
        <v/>
      </c>
    </row>
    <row r="846" ht="12.0" customHeight="1">
      <c r="A846" s="1" t="str">
        <f>IFERROR(__xludf.DUMMYFUNCTION("if(ISBLANK('RHS INPUT'!C846),,CONCATENATE(CHAR(34),To_Text('RHS INPUT'!C846),CHAR(34),CHAR(44)))"),"""rhsusf_m1025_w"",")</f>
        <v>"rhsusf_m1025_w",</v>
      </c>
      <c r="B846" s="18" t="str">
        <f>if(isblank('RHS INPUT'!A846),,CONCATENATE("/*  ",'RHS INPUT'!A846,"  */"))</f>
        <v/>
      </c>
      <c r="C846" s="22" t="str">
        <f>if(isblank(A846),,if('RHS INPUT'!D846=1,Concatenate("class ",'RHS INPUT'!C846),))</f>
        <v>class rhsusf_m1025_w</v>
      </c>
      <c r="D846" s="27" t="str">
        <f>if(ISBLANK(A846),,if('RHS INPUT'!D846=1,CONCATENATE("{quality = ",'RHS INPUT'!G846,"; price = ",Round('RHS INPUT'!M846),";};"),""))</f>
        <v>{quality = 1; price = 19000;};</v>
      </c>
      <c r="E846" t="str">
        <f>IFERROR(__xludf.DUMMYFUNCTION("if(ISBLANK(A846),, if('RHS INPUT'!E846=1,CONCATENATE(CHAR(34),To_Text('RHS INPUT'!C846),CHAR(34),CHAR(44)),""""))"),"""rhsusf_m1025_w"",")</f>
        <v>"rhsusf_m1025_w",</v>
      </c>
      <c r="F846" s="28" t="str">
        <f>IF(isblank(A846) ,Concatenate("&gt; ",'RHS INPUT'!A846) , if('RHS INPUT'!F846=1,CONCATENATE(round('RHS INPUT'!N846),Char(44)," ",'RHS INPUT'!C846),""))</f>
        <v/>
      </c>
    </row>
    <row r="847" ht="12.0" customHeight="1">
      <c r="A847" s="1" t="str">
        <f>IFERROR(__xludf.DUMMYFUNCTION("if(ISBLANK('RHS INPUT'!C847),,CONCATENATE(CHAR(34),To_Text('RHS INPUT'!C847),CHAR(34),CHAR(44)))"),"""rhsusf_m998_d_2dr"",")</f>
        <v>"rhsusf_m998_d_2dr",</v>
      </c>
      <c r="B847" s="18" t="str">
        <f>if(isblank('RHS INPUT'!A847),,CONCATENATE("/*  ",'RHS INPUT'!A847,"  */"))</f>
        <v/>
      </c>
      <c r="C847" s="22" t="str">
        <f>if(isblank(A847),,if('RHS INPUT'!D847=1,Concatenate("class ",'RHS INPUT'!C847),))</f>
        <v>class rhsusf_m998_d_2dr</v>
      </c>
      <c r="D847" s="27" t="str">
        <f>if(ISBLANK(A847),,if('RHS INPUT'!D847=1,CONCATENATE("{quality = ",'RHS INPUT'!G847,"; price = ",Round('RHS INPUT'!M847),";};"),""))</f>
        <v>{quality = 1; price = 18000;};</v>
      </c>
      <c r="E847" t="str">
        <f>IFERROR(__xludf.DUMMYFUNCTION("if(ISBLANK(A847),, if('RHS INPUT'!E847=1,CONCATENATE(CHAR(34),To_Text('RHS INPUT'!C847),CHAR(34),CHAR(44)),""""))"),"""rhsusf_m998_d_2dr"",")</f>
        <v>"rhsusf_m998_d_2dr",</v>
      </c>
      <c r="F847" s="28" t="str">
        <f>IF(isblank(A847) ,Concatenate("&gt; ",'RHS INPUT'!A847) , if('RHS INPUT'!F847=1,CONCATENATE(round('RHS INPUT'!N847),Char(44)," ",'RHS INPUT'!C847),""))</f>
        <v/>
      </c>
    </row>
    <row r="848" ht="12.0" customHeight="1">
      <c r="A848" s="1" t="str">
        <f>IFERROR(__xludf.DUMMYFUNCTION("if(ISBLANK('RHS INPUT'!C848),,CONCATENATE(CHAR(34),To_Text('RHS INPUT'!C848),CHAR(34),CHAR(44)))"),"""rhsusf_m998_w_2dr"",")</f>
        <v>"rhsusf_m998_w_2dr",</v>
      </c>
      <c r="B848" s="18" t="str">
        <f>if(isblank('RHS INPUT'!A848),,CONCATENATE("/*  ",'RHS INPUT'!A848,"  */"))</f>
        <v/>
      </c>
      <c r="C848" s="22" t="str">
        <f>if(isblank(A848),,if('RHS INPUT'!D848=1,Concatenate("class ",'RHS INPUT'!C848),))</f>
        <v>class rhsusf_m998_w_2dr</v>
      </c>
      <c r="D848" s="27" t="str">
        <f>if(ISBLANK(A848),,if('RHS INPUT'!D848=1,CONCATENATE("{quality = ",'RHS INPUT'!G848,"; price = ",Round('RHS INPUT'!M848),";};"),""))</f>
        <v>{quality = 1; price = 18000;};</v>
      </c>
      <c r="E848" t="str">
        <f>IFERROR(__xludf.DUMMYFUNCTION("if(ISBLANK(A848),, if('RHS INPUT'!E848=1,CONCATENATE(CHAR(34),To_Text('RHS INPUT'!C848),CHAR(34),CHAR(44)),""""))"),"""rhsusf_m998_w_2dr"",")</f>
        <v>"rhsusf_m998_w_2dr",</v>
      </c>
      <c r="F848" s="28" t="str">
        <f>IF(isblank(A848) ,Concatenate("&gt; ",'RHS INPUT'!A848) , if('RHS INPUT'!F848=1,CONCATENATE(round('RHS INPUT'!N848),Char(44)," ",'RHS INPUT'!C848),""))</f>
        <v/>
      </c>
    </row>
    <row r="849" ht="12.0" customHeight="1">
      <c r="A849" s="1" t="str">
        <f>IFERROR(__xludf.DUMMYFUNCTION("if(ISBLANK('RHS INPUT'!C849),,CONCATENATE(CHAR(34),To_Text('RHS INPUT'!C849),CHAR(34),CHAR(44)))"),"""rhsusf_m998_d_2dr_fulltop"",")</f>
        <v>"rhsusf_m998_d_2dr_fulltop",</v>
      </c>
      <c r="B849" s="18" t="str">
        <f>if(isblank('RHS INPUT'!A849),,CONCATENATE("/*  ",'RHS INPUT'!A849,"  */"))</f>
        <v/>
      </c>
      <c r="C849" s="22" t="str">
        <f>if(isblank(A849),,if('RHS INPUT'!D849=1,Concatenate("class ",'RHS INPUT'!C849),))</f>
        <v>class rhsusf_m998_d_2dr_fulltop</v>
      </c>
      <c r="D849" s="27" t="str">
        <f>if(ISBLANK(A849),,if('RHS INPUT'!D849=1,CONCATENATE("{quality = ",'RHS INPUT'!G849,"; price = ",Round('RHS INPUT'!M849),";};"),""))</f>
        <v>{quality = 1; price = 18000;};</v>
      </c>
      <c r="E849" t="str">
        <f>IFERROR(__xludf.DUMMYFUNCTION("if(ISBLANK(A849),, if('RHS INPUT'!E849=1,CONCATENATE(CHAR(34),To_Text('RHS INPUT'!C849),CHAR(34),CHAR(44)),""""))"),"""rhsusf_m998_d_2dr_fulltop"",")</f>
        <v>"rhsusf_m998_d_2dr_fulltop",</v>
      </c>
      <c r="F849" s="28" t="str">
        <f>IF(isblank(A849) ,Concatenate("&gt; ",'RHS INPUT'!A849) , if('RHS INPUT'!F849=1,CONCATENATE(round('RHS INPUT'!N849),Char(44)," ",'RHS INPUT'!C849),""))</f>
        <v/>
      </c>
    </row>
    <row r="850" ht="12.0" customHeight="1">
      <c r="A850" s="1" t="str">
        <f>IFERROR(__xludf.DUMMYFUNCTION("if(ISBLANK('RHS INPUT'!C850),,CONCATENATE(CHAR(34),To_Text('RHS INPUT'!C850),CHAR(34),CHAR(44)))"),"""rhsusf_m998_w_2dr_fulltop"",")</f>
        <v>"rhsusf_m998_w_2dr_fulltop",</v>
      </c>
      <c r="B850" s="18" t="str">
        <f>if(isblank('RHS INPUT'!A850),,CONCATENATE("/*  ",'RHS INPUT'!A850,"  */"))</f>
        <v/>
      </c>
      <c r="C850" s="22" t="str">
        <f>if(isblank(A850),,if('RHS INPUT'!D850=1,Concatenate("class ",'RHS INPUT'!C850),))</f>
        <v>class rhsusf_m998_w_2dr_fulltop</v>
      </c>
      <c r="D850" s="27" t="str">
        <f>if(ISBLANK(A850),,if('RHS INPUT'!D850=1,CONCATENATE("{quality = ",'RHS INPUT'!G850,"; price = ",Round('RHS INPUT'!M850),";};"),""))</f>
        <v>{quality = 1; price = 18000;};</v>
      </c>
      <c r="E850" t="str">
        <f>IFERROR(__xludf.DUMMYFUNCTION("if(ISBLANK(A850),, if('RHS INPUT'!E850=1,CONCATENATE(CHAR(34),To_Text('RHS INPUT'!C850),CHAR(34),CHAR(44)),""""))"),"""rhsusf_m998_w_2dr_fulltop"",")</f>
        <v>"rhsusf_m998_w_2dr_fulltop",</v>
      </c>
      <c r="F850" s="28" t="str">
        <f>IF(isblank(A850) ,Concatenate("&gt; ",'RHS INPUT'!A850) , if('RHS INPUT'!F850=1,CONCATENATE(round('RHS INPUT'!N850),Char(44)," ",'RHS INPUT'!C850),""))</f>
        <v/>
      </c>
    </row>
    <row r="851" ht="12.0" customHeight="1">
      <c r="A851" s="1" t="str">
        <f>IFERROR(__xludf.DUMMYFUNCTION("if(ISBLANK('RHS INPUT'!C851),,CONCATENATE(CHAR(34),To_Text('RHS INPUT'!C851),CHAR(34),CHAR(44)))"),"""rhsusf_m998_d_4dr"",")</f>
        <v>"rhsusf_m998_d_4dr",</v>
      </c>
      <c r="B851" s="18" t="str">
        <f>if(isblank('RHS INPUT'!A851),,CONCATENATE("/*  ",'RHS INPUT'!A851,"  */"))</f>
        <v/>
      </c>
      <c r="C851" s="22" t="str">
        <f>if(isblank(A851),,if('RHS INPUT'!D851=1,Concatenate("class ",'RHS INPUT'!C851),))</f>
        <v>class rhsusf_m998_d_4dr</v>
      </c>
      <c r="D851" s="27" t="str">
        <f>if(ISBLANK(A851),,if('RHS INPUT'!D851=1,CONCATENATE("{quality = ",'RHS INPUT'!G851,"; price = ",Round('RHS INPUT'!M851),";};"),""))</f>
        <v>{quality = 1; price = 18000;};</v>
      </c>
      <c r="E851" t="str">
        <f>IFERROR(__xludf.DUMMYFUNCTION("if(ISBLANK(A851),, if('RHS INPUT'!E851=1,CONCATENATE(CHAR(34),To_Text('RHS INPUT'!C851),CHAR(34),CHAR(44)),""""))"),"""rhsusf_m998_d_4dr"",")</f>
        <v>"rhsusf_m998_d_4dr",</v>
      </c>
      <c r="F851" s="28" t="str">
        <f>IF(isblank(A851) ,Concatenate("&gt; ",'RHS INPUT'!A851) , if('RHS INPUT'!F851=1,CONCATENATE(round('RHS INPUT'!N851),Char(44)," ",'RHS INPUT'!C851),""))</f>
        <v/>
      </c>
    </row>
    <row r="852" ht="12.0" customHeight="1">
      <c r="A852" s="1" t="str">
        <f>IFERROR(__xludf.DUMMYFUNCTION("if(ISBLANK('RHS INPUT'!C852),,CONCATENATE(CHAR(34),To_Text('RHS INPUT'!C852),CHAR(34),CHAR(44)))"),"""rhsusf_m998_w_4dr"",")</f>
        <v>"rhsusf_m998_w_4dr",</v>
      </c>
      <c r="B852" s="18" t="str">
        <f>if(isblank('RHS INPUT'!A852),,CONCATENATE("/*  ",'RHS INPUT'!A852,"  */"))</f>
        <v/>
      </c>
      <c r="C852" s="22" t="str">
        <f>if(isblank(A852),,if('RHS INPUT'!D852=1,Concatenate("class ",'RHS INPUT'!C852),))</f>
        <v>class rhsusf_m998_w_4dr</v>
      </c>
      <c r="D852" s="27" t="str">
        <f>if(ISBLANK(A852),,if('RHS INPUT'!D852=1,CONCATENATE("{quality = ",'RHS INPUT'!G852,"; price = ",Round('RHS INPUT'!M852),";};"),""))</f>
        <v>{quality = 1; price = 18000;};</v>
      </c>
      <c r="E852" t="str">
        <f>IFERROR(__xludf.DUMMYFUNCTION("if(ISBLANK(A852),, if('RHS INPUT'!E852=1,CONCATENATE(CHAR(34),To_Text('RHS INPUT'!C852),CHAR(34),CHAR(44)),""""))"),"""rhsusf_m998_w_4dr"",")</f>
        <v>"rhsusf_m998_w_4dr",</v>
      </c>
      <c r="F852" s="28" t="str">
        <f>IF(isblank(A852) ,Concatenate("&gt; ",'RHS INPUT'!A852) , if('RHS INPUT'!F852=1,CONCATENATE(round('RHS INPUT'!N852),Char(44)," ",'RHS INPUT'!C852),""))</f>
        <v/>
      </c>
    </row>
    <row r="853" ht="12.0" customHeight="1">
      <c r="A853" s="1" t="str">
        <f>IFERROR(__xludf.DUMMYFUNCTION("if(ISBLANK('RHS INPUT'!C853),,CONCATENATE(CHAR(34),To_Text('RHS INPUT'!C853),CHAR(34),CHAR(44)))"),"""rhsusf_m998_d_4dr_fulltop"",")</f>
        <v>"rhsusf_m998_d_4dr_fulltop",</v>
      </c>
      <c r="B853" s="18" t="str">
        <f>if(isblank('RHS INPUT'!A853),,CONCATENATE("/*  ",'RHS INPUT'!A853,"  */"))</f>
        <v/>
      </c>
      <c r="C853" s="22" t="str">
        <f>if(isblank(A853),,if('RHS INPUT'!D853=1,Concatenate("class ",'RHS INPUT'!C853),))</f>
        <v>class rhsusf_m998_d_4dr_fulltop</v>
      </c>
      <c r="D853" s="27" t="str">
        <f>if(ISBLANK(A853),,if('RHS INPUT'!D853=1,CONCATENATE("{quality = ",'RHS INPUT'!G853,"; price = ",Round('RHS INPUT'!M853),";};"),""))</f>
        <v>{quality = 1; price = 18000;};</v>
      </c>
      <c r="E853" t="str">
        <f>IFERROR(__xludf.DUMMYFUNCTION("if(ISBLANK(A853),, if('RHS INPUT'!E853=1,CONCATENATE(CHAR(34),To_Text('RHS INPUT'!C853),CHAR(34),CHAR(44)),""""))"),"""rhsusf_m998_d_4dr_fulltop"",")</f>
        <v>"rhsusf_m998_d_4dr_fulltop",</v>
      </c>
      <c r="F853" s="28" t="str">
        <f>IF(isblank(A853) ,Concatenate("&gt; ",'RHS INPUT'!A853) , if('RHS INPUT'!F853=1,CONCATENATE(round('RHS INPUT'!N853),Char(44)," ",'RHS INPUT'!C853),""))</f>
        <v/>
      </c>
    </row>
    <row r="854" ht="12.0" customHeight="1">
      <c r="A854" s="1" t="str">
        <f>IFERROR(__xludf.DUMMYFUNCTION("if(ISBLANK('RHS INPUT'!C854),,CONCATENATE(CHAR(34),To_Text('RHS INPUT'!C854),CHAR(34),CHAR(44)))"),"""rhsusf_m998_w_4dr_fulltop"",")</f>
        <v>"rhsusf_m998_w_4dr_fulltop",</v>
      </c>
      <c r="B854" s="18" t="str">
        <f>if(isblank('RHS INPUT'!A854),,CONCATENATE("/*  ",'RHS INPUT'!A854,"  */"))</f>
        <v/>
      </c>
      <c r="C854" s="22" t="str">
        <f>if(isblank(A854),,if('RHS INPUT'!D854=1,Concatenate("class ",'RHS INPUT'!C854),))</f>
        <v>class rhsusf_m998_w_4dr_fulltop</v>
      </c>
      <c r="D854" s="27" t="str">
        <f>if(ISBLANK(A854),,if('RHS INPUT'!D854=1,CONCATENATE("{quality = ",'RHS INPUT'!G854,"; price = ",Round('RHS INPUT'!M854),";};"),""))</f>
        <v>{quality = 1; price = 18000;};</v>
      </c>
      <c r="E854" t="str">
        <f>IFERROR(__xludf.DUMMYFUNCTION("if(ISBLANK(A854),, if('RHS INPUT'!E854=1,CONCATENATE(CHAR(34),To_Text('RHS INPUT'!C854),CHAR(34),CHAR(44)),""""))"),"""rhsusf_m998_w_4dr_fulltop"",")</f>
        <v>"rhsusf_m998_w_4dr_fulltop",</v>
      </c>
      <c r="F854" s="28" t="str">
        <f>IF(isblank(A854) ,Concatenate("&gt; ",'RHS INPUT'!A854) , if('RHS INPUT'!F854=1,CONCATENATE(round('RHS INPUT'!N854),Char(44)," ",'RHS INPUT'!C854),""))</f>
        <v/>
      </c>
    </row>
    <row r="855" ht="12.0" customHeight="1">
      <c r="A855" s="1" t="str">
        <f>IFERROR(__xludf.DUMMYFUNCTION("if(ISBLANK('RHS INPUT'!C855),,CONCATENATE(CHAR(34),To_Text('RHS INPUT'!C855),CHAR(34),CHAR(44)))"),"""rhs_uaz_open_vdv"",")</f>
        <v>"rhs_uaz_open_vdv",</v>
      </c>
      <c r="B855" s="18" t="str">
        <f>if(isblank('RHS INPUT'!A855),,CONCATENATE("/*  ",'RHS INPUT'!A855,"  */"))</f>
        <v/>
      </c>
      <c r="C855" s="22" t="str">
        <f>if(isblank(A855),,if('RHS INPUT'!D855=1,Concatenate("class ",'RHS INPUT'!C855),))</f>
        <v>class rhs_uaz_open_vdv</v>
      </c>
      <c r="D855" s="27" t="str">
        <f>if(ISBLANK(A855),,if('RHS INPUT'!D855=1,CONCATENATE("{quality = ",'RHS INPUT'!G855,"; price = ",Round('RHS INPUT'!M855),";};"),""))</f>
        <v>{quality = 1; price = 5000;};</v>
      </c>
      <c r="E855" t="str">
        <f>IFERROR(__xludf.DUMMYFUNCTION("if(ISBLANK(A855),, if('RHS INPUT'!E855=1,CONCATENATE(CHAR(34),To_Text('RHS INPUT'!C855),CHAR(34),CHAR(44)),""""))"),"""rhs_uaz_open_vdv"",")</f>
        <v>"rhs_uaz_open_vdv",</v>
      </c>
      <c r="F855" s="28" t="str">
        <f>IF(isblank(A855) ,Concatenate("&gt; ",'RHS INPUT'!A855) , if('RHS INPUT'!F855=1,CONCATENATE(round('RHS INPUT'!N855),Char(44)," ",'RHS INPUT'!C855),""))</f>
        <v/>
      </c>
    </row>
    <row r="856" ht="12.0" customHeight="1">
      <c r="A856" s="1" t="str">
        <f>IFERROR(__xludf.DUMMYFUNCTION("if(ISBLANK('RHS INPUT'!C856),,CONCATENATE(CHAR(34),To_Text('RHS INPUT'!C856),CHAR(34),CHAR(44)))"),"""rhs_uaz_open_chdkz"",")</f>
        <v>"rhs_uaz_open_chdkz",</v>
      </c>
      <c r="B856" s="18" t="str">
        <f>if(isblank('RHS INPUT'!A856),,CONCATENATE("/*  ",'RHS INPUT'!A856,"  */"))</f>
        <v/>
      </c>
      <c r="C856" s="22" t="str">
        <f>if(isblank(A856),,if('RHS INPUT'!D856=1,Concatenate("class ",'RHS INPUT'!C856),))</f>
        <v>class rhs_uaz_open_chdkz</v>
      </c>
      <c r="D856" s="27" t="str">
        <f>if(ISBLANK(A856),,if('RHS INPUT'!D856=1,CONCATENATE("{quality = ",'RHS INPUT'!G856,"; price = ",Round('RHS INPUT'!M856),";};"),""))</f>
        <v>{quality = 1; price = 5000;};</v>
      </c>
      <c r="E856" t="str">
        <f>IFERROR(__xludf.DUMMYFUNCTION("if(ISBLANK(A856),, if('RHS INPUT'!E856=1,CONCATENATE(CHAR(34),To_Text('RHS INPUT'!C856),CHAR(34),CHAR(44)),""""))"),"""rhs_uaz_open_chdkz"",")</f>
        <v>"rhs_uaz_open_chdkz",</v>
      </c>
      <c r="F856" s="28" t="str">
        <f>IF(isblank(A856) ,Concatenate("&gt; ",'RHS INPUT'!A856) , if('RHS INPUT'!F856=1,CONCATENATE(round('RHS INPUT'!N856),Char(44)," ",'RHS INPUT'!C856),""))</f>
        <v/>
      </c>
    </row>
    <row r="857" ht="12.0" customHeight="1">
      <c r="A857" s="1" t="str">
        <f>IFERROR(__xludf.DUMMYFUNCTION("if(ISBLANK('RHS INPUT'!C857),,CONCATENATE(CHAR(34),To_Text('RHS INPUT'!C857),CHAR(34),CHAR(44)))"),"""rhs_uaz_vdv"",")</f>
        <v>"rhs_uaz_vdv",</v>
      </c>
      <c r="B857" s="18" t="str">
        <f>if(isblank('RHS INPUT'!A857),,CONCATENATE("/*  ",'RHS INPUT'!A857,"  */"))</f>
        <v/>
      </c>
      <c r="C857" s="22" t="str">
        <f>if(isblank(A857),,if('RHS INPUT'!D857=1,Concatenate("class ",'RHS INPUT'!C857),))</f>
        <v>class rhs_uaz_vdv</v>
      </c>
      <c r="D857" s="27" t="str">
        <f>if(ISBLANK(A857),,if('RHS INPUT'!D857=1,CONCATENATE("{quality = ",'RHS INPUT'!G857,"; price = ",Round('RHS INPUT'!M857),";};"),""))</f>
        <v>{quality = 1; price = 6000;};</v>
      </c>
      <c r="E857" t="str">
        <f>IFERROR(__xludf.DUMMYFUNCTION("if(ISBLANK(A857),, if('RHS INPUT'!E857=1,CONCATENATE(CHAR(34),To_Text('RHS INPUT'!C857),CHAR(34),CHAR(44)),""""))"),"""rhs_uaz_vdv"",")</f>
        <v>"rhs_uaz_vdv",</v>
      </c>
      <c r="F857" s="28" t="str">
        <f>IF(isblank(A857) ,Concatenate("&gt; ",'RHS INPUT'!A857) , if('RHS INPUT'!F857=1,CONCATENATE(round('RHS INPUT'!N857),Char(44)," ",'RHS INPUT'!C857),""))</f>
        <v/>
      </c>
    </row>
    <row r="858" ht="12.0" customHeight="1">
      <c r="A858" s="1" t="str">
        <f>IFERROR(__xludf.DUMMYFUNCTION("if(ISBLANK('RHS INPUT'!C858),,CONCATENATE(CHAR(34),To_Text('RHS INPUT'!C858),CHAR(34),CHAR(44)))"),"""RHS_UAZ_chdkz"",")</f>
        <v>"RHS_UAZ_chdkz",</v>
      </c>
      <c r="B858" s="18" t="str">
        <f>if(isblank('RHS INPUT'!A858),,CONCATENATE("/*  ",'RHS INPUT'!A858,"  */"))</f>
        <v/>
      </c>
      <c r="C858" s="22" t="str">
        <f>if(isblank(A858),,if('RHS INPUT'!D858=1,Concatenate("class ",'RHS INPUT'!C858),))</f>
        <v>class RHS_UAZ_chdkz</v>
      </c>
      <c r="D858" s="27" t="str">
        <f>if(ISBLANK(A858),,if('RHS INPUT'!D858=1,CONCATENATE("{quality = ",'RHS INPUT'!G858,"; price = ",Round('RHS INPUT'!M858),";};"),""))</f>
        <v>{quality = 1; price = 6000;};</v>
      </c>
      <c r="E858" t="str">
        <f>IFERROR(__xludf.DUMMYFUNCTION("if(ISBLANK(A858),, if('RHS INPUT'!E858=1,CONCATENATE(CHAR(34),To_Text('RHS INPUT'!C858),CHAR(34),CHAR(44)),""""))"),"""RHS_UAZ_chdkz"",")</f>
        <v>"RHS_UAZ_chdkz",</v>
      </c>
      <c r="F858" s="28" t="str">
        <f>IF(isblank(A858) ,Concatenate("&gt; ",'RHS INPUT'!A858) , if('RHS INPUT'!F858=1,CONCATENATE(round('RHS INPUT'!N858),Char(44)," ",'RHS INPUT'!C858),""))</f>
        <v/>
      </c>
    </row>
    <row r="859" ht="12.0" customHeight="1">
      <c r="A859" s="1" t="str">
        <f>IFERROR(__xludf.DUMMYFUNCTION("if(ISBLANK('RHS INPUT'!C859),,CONCATENATE(CHAR(34),To_Text('RHS INPUT'!C859),CHAR(34),CHAR(44)))"),"")</f>
        <v/>
      </c>
      <c r="B859" s="18" t="str">
        <f>if(isblank('RHS INPUT'!A859),,CONCATENATE("/*  ",'RHS INPUT'!A859,"  */"))</f>
        <v>/*  TRUCKS  */</v>
      </c>
      <c r="C859" s="22" t="str">
        <f>if(isblank(A859),,if('RHS INPUT'!D859=1,Concatenate("class ",'RHS INPUT'!C859),))</f>
        <v/>
      </c>
      <c r="D859" s="27" t="str">
        <f>if(ISBLANK(A859),,if('RHS INPUT'!D859=1,CONCATENATE("{quality = ",'RHS INPUT'!G859,"; price = ",Round('RHS INPUT'!M859),";};"),""))</f>
        <v/>
      </c>
      <c r="E859" t="str">
        <f>IFERROR(__xludf.DUMMYFUNCTION("if(ISBLANK(A859),, if('RHS INPUT'!E859=1,CONCATENATE(CHAR(34),To_Text('RHS INPUT'!C859),CHAR(34),CHAR(44)),""""))"),"")</f>
        <v/>
      </c>
      <c r="F859" s="28" t="str">
        <f>IF(isblank(A859) ,Concatenate("&gt; ",'RHS INPUT'!A859) , if('RHS INPUT'!F859=1,CONCATENATE(round('RHS INPUT'!N859),Char(44)," ",'RHS INPUT'!C859),""))</f>
        <v>&gt; TRUCKS</v>
      </c>
    </row>
    <row r="860" ht="12.0" customHeight="1">
      <c r="A860" s="1" t="str">
        <f>IFERROR(__xludf.DUMMYFUNCTION("if(ISBLANK('RHS INPUT'!C860),,CONCATENATE(CHAR(34),To_Text('RHS INPUT'!C860),CHAR(34),CHAR(44)))"),"""Exile_Car_Van_Box_Black"",")</f>
        <v>"Exile_Car_Van_Box_Black",</v>
      </c>
      <c r="B860" s="18" t="str">
        <f>if(isblank('RHS INPUT'!A860),,CONCATENATE("/*  ",'RHS INPUT'!A860,"  */"))</f>
        <v/>
      </c>
      <c r="C860" s="22" t="str">
        <f>if(isblank(A860),,if('RHS INPUT'!D860=1,Concatenate("class ",'RHS INPUT'!C860),))</f>
        <v>class Exile_Car_Van_Box_Black</v>
      </c>
      <c r="D860" s="27" t="str">
        <f>if(ISBLANK(A860),,if('RHS INPUT'!D860=1,CONCATENATE("{quality = ",'RHS INPUT'!G860,"; price = ",Round('RHS INPUT'!M860),";};"),""))</f>
        <v>{quality = 1; price = 16000;};</v>
      </c>
      <c r="E860" t="str">
        <f>IFERROR(__xludf.DUMMYFUNCTION("if(ISBLANK(A860),, if('RHS INPUT'!E860=1,CONCATENATE(CHAR(34),To_Text('RHS INPUT'!C860),CHAR(34),CHAR(44)),""""))"),"""Exile_Car_Van_Box_Black"",")</f>
        <v>"Exile_Car_Van_Box_Black",</v>
      </c>
      <c r="F860" s="28" t="str">
        <f>IF(isblank(A860) ,Concatenate("&gt; ",'RHS INPUT'!A860) , if('RHS INPUT'!F860=1,CONCATENATE(round('RHS INPUT'!N860),Char(44)," ",'RHS INPUT'!C860),""))</f>
        <v/>
      </c>
    </row>
    <row r="861" ht="12.0" customHeight="1">
      <c r="A861" s="1" t="str">
        <f>IFERROR(__xludf.DUMMYFUNCTION("if(ISBLANK('RHS INPUT'!C861),,CONCATENATE(CHAR(34),To_Text('RHS INPUT'!C861),CHAR(34),CHAR(44)))"),"""Exile_Car_Van_Box_White"",")</f>
        <v>"Exile_Car_Van_Box_White",</v>
      </c>
      <c r="B861" s="18" t="str">
        <f>if(isblank('RHS INPUT'!A861),,CONCATENATE("/*  ",'RHS INPUT'!A861,"  */"))</f>
        <v/>
      </c>
      <c r="C861" s="22" t="str">
        <f>if(isblank(A861),,if('RHS INPUT'!D861=1,Concatenate("class ",'RHS INPUT'!C861),))</f>
        <v>class Exile_Car_Van_Box_White</v>
      </c>
      <c r="D861" s="27" t="str">
        <f>if(ISBLANK(A861),,if('RHS INPUT'!D861=1,CONCATENATE("{quality = ",'RHS INPUT'!G861,"; price = ",Round('RHS INPUT'!M861),";};"),""))</f>
        <v>{quality = 1; price = 16000;};</v>
      </c>
      <c r="E861" t="str">
        <f>IFERROR(__xludf.DUMMYFUNCTION("if(ISBLANK(A861),, if('RHS INPUT'!E861=1,CONCATENATE(CHAR(34),To_Text('RHS INPUT'!C861),CHAR(34),CHAR(44)),""""))"),"")</f>
        <v/>
      </c>
      <c r="F861" s="28" t="str">
        <f>IF(isblank(A861) ,Concatenate("&gt; ",'RHS INPUT'!A861) , if('RHS INPUT'!F861=1,CONCATENATE(round('RHS INPUT'!N861),Char(44)," ",'RHS INPUT'!C861),""))</f>
        <v/>
      </c>
    </row>
    <row r="862" ht="12.0" customHeight="1">
      <c r="A862" s="1" t="str">
        <f>IFERROR(__xludf.DUMMYFUNCTION("if(ISBLANK('RHS INPUT'!C862),,CONCATENATE(CHAR(34),To_Text('RHS INPUT'!C862),CHAR(34),CHAR(44)))"),"""Exile_Car_Van_Box_Red"",")</f>
        <v>"Exile_Car_Van_Box_Red",</v>
      </c>
      <c r="B862" s="18" t="str">
        <f>if(isblank('RHS INPUT'!A862),,CONCATENATE("/*  ",'RHS INPUT'!A862,"  */"))</f>
        <v/>
      </c>
      <c r="C862" s="22" t="str">
        <f>if(isblank(A862),,if('RHS INPUT'!D862=1,Concatenate("class ",'RHS INPUT'!C862),))</f>
        <v>class Exile_Car_Van_Box_Red</v>
      </c>
      <c r="D862" s="27" t="str">
        <f>if(ISBLANK(A862),,if('RHS INPUT'!D862=1,CONCATENATE("{quality = ",'RHS INPUT'!G862,"; price = ",Round('RHS INPUT'!M862),";};"),""))</f>
        <v>{quality = 1; price = 16000;};</v>
      </c>
      <c r="E862" t="str">
        <f>IFERROR(__xludf.DUMMYFUNCTION("if(ISBLANK(A862),, if('RHS INPUT'!E862=1,CONCATENATE(CHAR(34),To_Text('RHS INPUT'!C862),CHAR(34),CHAR(44)),""""))"),"")</f>
        <v/>
      </c>
      <c r="F862" s="28" t="str">
        <f>IF(isblank(A862) ,Concatenate("&gt; ",'RHS INPUT'!A862) , if('RHS INPUT'!F862=1,CONCATENATE(round('RHS INPUT'!N862),Char(44)," ",'RHS INPUT'!C862),""))</f>
        <v/>
      </c>
    </row>
    <row r="863" ht="12.0" customHeight="1">
      <c r="A863" s="1" t="str">
        <f>IFERROR(__xludf.DUMMYFUNCTION("if(ISBLANK('RHS INPUT'!C863),,CONCATENATE(CHAR(34),To_Text('RHS INPUT'!C863),CHAR(34),CHAR(44)))"),"""Exile_Car_Van_Box_Guerilla01"",")</f>
        <v>"Exile_Car_Van_Box_Guerilla01",</v>
      </c>
      <c r="B863" s="18" t="str">
        <f>if(isblank('RHS INPUT'!A863),,CONCATENATE("/*  ",'RHS INPUT'!A863,"  */"))</f>
        <v/>
      </c>
      <c r="C863" s="22" t="str">
        <f>if(isblank(A863),,if('RHS INPUT'!D863=1,Concatenate("class ",'RHS INPUT'!C863),))</f>
        <v>class Exile_Car_Van_Box_Guerilla01</v>
      </c>
      <c r="D863" s="27" t="str">
        <f>if(ISBLANK(A863),,if('RHS INPUT'!D863=1,CONCATENATE("{quality = ",'RHS INPUT'!G863,"; price = ",Round('RHS INPUT'!M863),";};"),""))</f>
        <v>{quality = 1; price = 16000;};</v>
      </c>
      <c r="E863" t="str">
        <f>IFERROR(__xludf.DUMMYFUNCTION("if(ISBLANK(A863),, if('RHS INPUT'!E863=1,CONCATENATE(CHAR(34),To_Text('RHS INPUT'!C863),CHAR(34),CHAR(44)),""""))"),"")</f>
        <v/>
      </c>
      <c r="F863" s="28" t="str">
        <f>IF(isblank(A863) ,Concatenate("&gt; ",'RHS INPUT'!A863) , if('RHS INPUT'!F863=1,CONCATENATE(round('RHS INPUT'!N863),Char(44)," ",'RHS INPUT'!C863),""))</f>
        <v/>
      </c>
    </row>
    <row r="864" ht="12.0" customHeight="1">
      <c r="A864" s="1" t="str">
        <f>IFERROR(__xludf.DUMMYFUNCTION("if(ISBLANK('RHS INPUT'!C864),,CONCATENATE(CHAR(34),To_Text('RHS INPUT'!C864),CHAR(34),CHAR(44)))"),"""Exile_Car_Van_Box_Guerilla02"",")</f>
        <v>"Exile_Car_Van_Box_Guerilla02",</v>
      </c>
      <c r="B864" s="18" t="str">
        <f>if(isblank('RHS INPUT'!A864),,CONCATENATE("/*  ",'RHS INPUT'!A864,"  */"))</f>
        <v/>
      </c>
      <c r="C864" s="22" t="str">
        <f>if(isblank(A864),,if('RHS INPUT'!D864=1,Concatenate("class ",'RHS INPUT'!C864),))</f>
        <v>class Exile_Car_Van_Box_Guerilla02</v>
      </c>
      <c r="D864" s="27" t="str">
        <f>if(ISBLANK(A864),,if('RHS INPUT'!D864=1,CONCATENATE("{quality = ",'RHS INPUT'!G864,"; price = ",Round('RHS INPUT'!M864),";};"),""))</f>
        <v>{quality = 1; price = 16000;};</v>
      </c>
      <c r="E864" t="str">
        <f>IFERROR(__xludf.DUMMYFUNCTION("if(ISBLANK(A864),, if('RHS INPUT'!E864=1,CONCATENATE(CHAR(34),To_Text('RHS INPUT'!C864),CHAR(34),CHAR(44)),""""))"),"")</f>
        <v/>
      </c>
      <c r="F864" s="28" t="str">
        <f>IF(isblank(A864) ,Concatenate("&gt; ",'RHS INPUT'!A864) , if('RHS INPUT'!F864=1,CONCATENATE(round('RHS INPUT'!N864),Char(44)," ",'RHS INPUT'!C864),""))</f>
        <v/>
      </c>
    </row>
    <row r="865" ht="12.0" customHeight="1">
      <c r="A865" s="1" t="str">
        <f>IFERROR(__xludf.DUMMYFUNCTION("if(ISBLANK('RHS INPUT'!C865),,CONCATENATE(CHAR(34),To_Text('RHS INPUT'!C865),CHAR(34),CHAR(44)))"),"""Exile_Car_Van_Box_Guerilla03"",")</f>
        <v>"Exile_Car_Van_Box_Guerilla03",</v>
      </c>
      <c r="B865" s="18" t="str">
        <f>if(isblank('RHS INPUT'!A865),,CONCATENATE("/*  ",'RHS INPUT'!A865,"  */"))</f>
        <v/>
      </c>
      <c r="C865" s="22" t="str">
        <f>if(isblank(A865),,if('RHS INPUT'!D865=1,Concatenate("class ",'RHS INPUT'!C865),))</f>
        <v>class Exile_Car_Van_Box_Guerilla03</v>
      </c>
      <c r="D865" s="27" t="str">
        <f>if(ISBLANK(A865),,if('RHS INPUT'!D865=1,CONCATENATE("{quality = ",'RHS INPUT'!G865,"; price = ",Round('RHS INPUT'!M865),";};"),""))</f>
        <v>{quality = 1; price = 16000;};</v>
      </c>
      <c r="E865" t="str">
        <f>IFERROR(__xludf.DUMMYFUNCTION("if(ISBLANK(A865),, if('RHS INPUT'!E865=1,CONCATENATE(CHAR(34),To_Text('RHS INPUT'!C865),CHAR(34),CHAR(44)),""""))"),"")</f>
        <v/>
      </c>
      <c r="F865" s="28" t="str">
        <f>IF(isblank(A865) ,Concatenate("&gt; ",'RHS INPUT'!A865) , if('RHS INPUT'!F865=1,CONCATENATE(round('RHS INPUT'!N865),Char(44)," ",'RHS INPUT'!C865),""))</f>
        <v/>
      </c>
    </row>
    <row r="866" ht="12.0" customHeight="1">
      <c r="A866" s="1" t="str">
        <f>IFERROR(__xludf.DUMMYFUNCTION("if(ISBLANK('RHS INPUT'!C866),,CONCATENATE(CHAR(34),To_Text('RHS INPUT'!C866),CHAR(34),CHAR(44)))"),"""Exile_Car_Van_Box_Guerilla04"",")</f>
        <v>"Exile_Car_Van_Box_Guerilla04",</v>
      </c>
      <c r="B866" s="18" t="str">
        <f>if(isblank('RHS INPUT'!A866),,CONCATENATE("/*  ",'RHS INPUT'!A866,"  */"))</f>
        <v/>
      </c>
      <c r="C866" s="22" t="str">
        <f>if(isblank(A866),,if('RHS INPUT'!D866=1,Concatenate("class ",'RHS INPUT'!C866),))</f>
        <v>class Exile_Car_Van_Box_Guerilla04</v>
      </c>
      <c r="D866" s="27" t="str">
        <f>if(ISBLANK(A866),,if('RHS INPUT'!D866=1,CONCATENATE("{quality = ",'RHS INPUT'!G866,"; price = ",Round('RHS INPUT'!M866),";};"),""))</f>
        <v>{quality = 1; price = 16000;};</v>
      </c>
      <c r="E866" t="str">
        <f>IFERROR(__xludf.DUMMYFUNCTION("if(ISBLANK(A866),, if('RHS INPUT'!E866=1,CONCATENATE(CHAR(34),To_Text('RHS INPUT'!C866),CHAR(34),CHAR(44)),""""))"),"")</f>
        <v/>
      </c>
      <c r="F866" s="28" t="str">
        <f>IF(isblank(A866) ,Concatenate("&gt; ",'RHS INPUT'!A866) , if('RHS INPUT'!F866=1,CONCATENATE(round('RHS INPUT'!N866),Char(44)," ",'RHS INPUT'!C866),""))</f>
        <v/>
      </c>
    </row>
    <row r="867" ht="12.0" customHeight="1">
      <c r="A867" s="1" t="str">
        <f>IFERROR(__xludf.DUMMYFUNCTION("if(ISBLANK('RHS INPUT'!C867),,CONCATENATE(CHAR(34),To_Text('RHS INPUT'!C867),CHAR(34),CHAR(44)))"),"""Exile_Car_Van_Box_Guerilla05"",")</f>
        <v>"Exile_Car_Van_Box_Guerilla05",</v>
      </c>
      <c r="B867" s="18" t="str">
        <f>if(isblank('RHS INPUT'!A867),,CONCATENATE("/*  ",'RHS INPUT'!A867,"  */"))</f>
        <v/>
      </c>
      <c r="C867" s="22" t="str">
        <f>if(isblank(A867),,if('RHS INPUT'!D867=1,Concatenate("class ",'RHS INPUT'!C867),))</f>
        <v>class Exile_Car_Van_Box_Guerilla05</v>
      </c>
      <c r="D867" s="27" t="str">
        <f>if(ISBLANK(A867),,if('RHS INPUT'!D867=1,CONCATENATE("{quality = ",'RHS INPUT'!G867,"; price = ",Round('RHS INPUT'!M867),";};"),""))</f>
        <v>{quality = 1; price = 16000;};</v>
      </c>
      <c r="E867" t="str">
        <f>IFERROR(__xludf.DUMMYFUNCTION("if(ISBLANK(A867),, if('RHS INPUT'!E867=1,CONCATENATE(CHAR(34),To_Text('RHS INPUT'!C867),CHAR(34),CHAR(44)),""""))"),"")</f>
        <v/>
      </c>
      <c r="F867" s="28" t="str">
        <f>IF(isblank(A867) ,Concatenate("&gt; ",'RHS INPUT'!A867) , if('RHS INPUT'!F867=1,CONCATENATE(round('RHS INPUT'!N867),Char(44)," ",'RHS INPUT'!C867),""))</f>
        <v/>
      </c>
    </row>
    <row r="868" ht="12.0" customHeight="1">
      <c r="A868" s="1" t="str">
        <f>IFERROR(__xludf.DUMMYFUNCTION("if(ISBLANK('RHS INPUT'!C868),,CONCATENATE(CHAR(34),To_Text('RHS INPUT'!C868),CHAR(34),CHAR(44)))"),"""Exile_Car_Van_Box_Guerilla06"",")</f>
        <v>"Exile_Car_Van_Box_Guerilla06",</v>
      </c>
      <c r="B868" s="18" t="str">
        <f>if(isblank('RHS INPUT'!A868),,CONCATENATE("/*  ",'RHS INPUT'!A868,"  */"))</f>
        <v/>
      </c>
      <c r="C868" s="22" t="str">
        <f>if(isblank(A868),,if('RHS INPUT'!D868=1,Concatenate("class ",'RHS INPUT'!C868),))</f>
        <v>class Exile_Car_Van_Box_Guerilla06</v>
      </c>
      <c r="D868" s="27" t="str">
        <f>if(ISBLANK(A868),,if('RHS INPUT'!D868=1,CONCATENATE("{quality = ",'RHS INPUT'!G868,"; price = ",Round('RHS INPUT'!M868),";};"),""))</f>
        <v>{quality = 1; price = 16000;};</v>
      </c>
      <c r="E868" t="str">
        <f>IFERROR(__xludf.DUMMYFUNCTION("if(ISBLANK(A868),, if('RHS INPUT'!E868=1,CONCATENATE(CHAR(34),To_Text('RHS INPUT'!C868),CHAR(34),CHAR(44)),""""))"),"")</f>
        <v/>
      </c>
      <c r="F868" s="28" t="str">
        <f>IF(isblank(A868) ,Concatenate("&gt; ",'RHS INPUT'!A868) , if('RHS INPUT'!F868=1,CONCATENATE(round('RHS INPUT'!N868),Char(44)," ",'RHS INPUT'!C868),""))</f>
        <v/>
      </c>
    </row>
    <row r="869" ht="12.0" customHeight="1">
      <c r="A869" s="1" t="str">
        <f>IFERROR(__xludf.DUMMYFUNCTION("if(ISBLANK('RHS INPUT'!C869),,CONCATENATE(CHAR(34),To_Text('RHS INPUT'!C869),CHAR(34),CHAR(44)))"),"""Exile_Car_Van_Box_Guerilla07"",")</f>
        <v>"Exile_Car_Van_Box_Guerilla07",</v>
      </c>
      <c r="B869" s="18" t="str">
        <f>if(isblank('RHS INPUT'!A869),,CONCATENATE("/*  ",'RHS INPUT'!A869,"  */"))</f>
        <v/>
      </c>
      <c r="C869" s="22" t="str">
        <f>if(isblank(A869),,if('RHS INPUT'!D869=1,Concatenate("class ",'RHS INPUT'!C869),))</f>
        <v>class Exile_Car_Van_Box_Guerilla07</v>
      </c>
      <c r="D869" s="27" t="str">
        <f>if(ISBLANK(A869),,if('RHS INPUT'!D869=1,CONCATENATE("{quality = ",'RHS INPUT'!G869,"; price = ",Round('RHS INPUT'!M869),";};"),""))</f>
        <v>{quality = 1; price = 16000;};</v>
      </c>
      <c r="E869" t="str">
        <f>IFERROR(__xludf.DUMMYFUNCTION("if(ISBLANK(A869),, if('RHS INPUT'!E869=1,CONCATENATE(CHAR(34),To_Text('RHS INPUT'!C869),CHAR(34),CHAR(44)),""""))"),"")</f>
        <v/>
      </c>
      <c r="F869" s="28" t="str">
        <f>IF(isblank(A869) ,Concatenate("&gt; ",'RHS INPUT'!A869) , if('RHS INPUT'!F869=1,CONCATENATE(round('RHS INPUT'!N869),Char(44)," ",'RHS INPUT'!C869),""))</f>
        <v/>
      </c>
    </row>
    <row r="870" ht="12.0" customHeight="1">
      <c r="A870" s="1" t="str">
        <f>IFERROR(__xludf.DUMMYFUNCTION("if(ISBLANK('RHS INPUT'!C870),,CONCATENATE(CHAR(34),To_Text('RHS INPUT'!C870),CHAR(34),CHAR(44)))"),"""Exile_Car_Van_Box_Guerilla08"",")</f>
        <v>"Exile_Car_Van_Box_Guerilla08",</v>
      </c>
      <c r="B870" s="18" t="str">
        <f>if(isblank('RHS INPUT'!A870),,CONCATENATE("/*  ",'RHS INPUT'!A870,"  */"))</f>
        <v/>
      </c>
      <c r="C870" s="22" t="str">
        <f>if(isblank(A870),,if('RHS INPUT'!D870=1,Concatenate("class ",'RHS INPUT'!C870),))</f>
        <v>class Exile_Car_Van_Box_Guerilla08</v>
      </c>
      <c r="D870" s="27" t="str">
        <f>if(ISBLANK(A870),,if('RHS INPUT'!D870=1,CONCATENATE("{quality = ",'RHS INPUT'!G870,"; price = ",Round('RHS INPUT'!M870),";};"),""))</f>
        <v>{quality = 1; price = 16000;};</v>
      </c>
      <c r="E870" t="str">
        <f>IFERROR(__xludf.DUMMYFUNCTION("if(ISBLANK(A870),, if('RHS INPUT'!E870=1,CONCATENATE(CHAR(34),To_Text('RHS INPUT'!C870),CHAR(34),CHAR(44)),""""))"),"")</f>
        <v/>
      </c>
      <c r="F870" s="28" t="str">
        <f>IF(isblank(A870) ,Concatenate("&gt; ",'RHS INPUT'!A870) , if('RHS INPUT'!F870=1,CONCATENATE(round('RHS INPUT'!N870),Char(44)," ",'RHS INPUT'!C870),""))</f>
        <v/>
      </c>
    </row>
    <row r="871" ht="12.0" customHeight="1">
      <c r="A871" s="1" t="str">
        <f>IFERROR(__xludf.DUMMYFUNCTION("if(ISBLANK('RHS INPUT'!C871),,CONCATENATE(CHAR(34),To_Text('RHS INPUT'!C871),CHAR(34),CHAR(44)))"),"""Exile_Car_Van_Fuel_Black"",")</f>
        <v>"Exile_Car_Van_Fuel_Black",</v>
      </c>
      <c r="B871" s="18" t="str">
        <f>if(isblank('RHS INPUT'!A871),,CONCATENATE("/*  ",'RHS INPUT'!A871,"  */"))</f>
        <v/>
      </c>
      <c r="C871" s="22" t="str">
        <f>if(isblank(A871),,if('RHS INPUT'!D871=1,Concatenate("class ",'RHS INPUT'!C871),))</f>
        <v>class Exile_Car_Van_Fuel_Black</v>
      </c>
      <c r="D871" s="27" t="str">
        <f>if(ISBLANK(A871),,if('RHS INPUT'!D871=1,CONCATENATE("{quality = ",'RHS INPUT'!G871,"; price = ",Round('RHS INPUT'!M871),";};"),""))</f>
        <v>{quality = 1; price = 20000;};</v>
      </c>
      <c r="E871" t="str">
        <f>IFERROR(__xludf.DUMMYFUNCTION("if(ISBLANK(A871),, if('RHS INPUT'!E871=1,CONCATENATE(CHAR(34),To_Text('RHS INPUT'!C871),CHAR(34),CHAR(44)),""""))"),"""Exile_Car_Van_Fuel_Black"",")</f>
        <v>"Exile_Car_Van_Fuel_Black",</v>
      </c>
      <c r="F871" s="28" t="str">
        <f>IF(isblank(A871) ,Concatenate("&gt; ",'RHS INPUT'!A871) , if('RHS INPUT'!F871=1,CONCATENATE(round('RHS INPUT'!N871),Char(44)," ",'RHS INPUT'!C871),""))</f>
        <v/>
      </c>
    </row>
    <row r="872" ht="12.0" customHeight="1">
      <c r="A872" s="1" t="str">
        <f>IFERROR(__xludf.DUMMYFUNCTION("if(ISBLANK('RHS INPUT'!C872),,CONCATENATE(CHAR(34),To_Text('RHS INPUT'!C872),CHAR(34),CHAR(44)))"),"""Exile_Car_Van_Fuel_White"",")</f>
        <v>"Exile_Car_Van_Fuel_White",</v>
      </c>
      <c r="B872" s="18" t="str">
        <f>if(isblank('RHS INPUT'!A872),,CONCATENATE("/*  ",'RHS INPUT'!A872,"  */"))</f>
        <v/>
      </c>
      <c r="C872" s="22" t="str">
        <f>if(isblank(A872),,if('RHS INPUT'!D872=1,Concatenate("class ",'RHS INPUT'!C872),))</f>
        <v>class Exile_Car_Van_Fuel_White</v>
      </c>
      <c r="D872" s="27" t="str">
        <f>if(ISBLANK(A872),,if('RHS INPUT'!D872=1,CONCATENATE("{quality = ",'RHS INPUT'!G872,"; price = ",Round('RHS INPUT'!M872),";};"),""))</f>
        <v>{quality = 1; price = 20000;};</v>
      </c>
      <c r="E872" t="str">
        <f>IFERROR(__xludf.DUMMYFUNCTION("if(ISBLANK(A872),, if('RHS INPUT'!E872=1,CONCATENATE(CHAR(34),To_Text('RHS INPUT'!C872),CHAR(34),CHAR(44)),""""))"),"")</f>
        <v/>
      </c>
      <c r="F872" s="28" t="str">
        <f>IF(isblank(A872) ,Concatenate("&gt; ",'RHS INPUT'!A872) , if('RHS INPUT'!F872=1,CONCATENATE(round('RHS INPUT'!N872),Char(44)," ",'RHS INPUT'!C872),""))</f>
        <v/>
      </c>
    </row>
    <row r="873" ht="12.0" customHeight="1">
      <c r="A873" s="1" t="str">
        <f>IFERROR(__xludf.DUMMYFUNCTION("if(ISBLANK('RHS INPUT'!C873),,CONCATENATE(CHAR(34),To_Text('RHS INPUT'!C873),CHAR(34),CHAR(44)))"),"""Exile_Car_Van_Fuel_Red"",")</f>
        <v>"Exile_Car_Van_Fuel_Red",</v>
      </c>
      <c r="B873" s="18" t="str">
        <f>if(isblank('RHS INPUT'!A873),,CONCATENATE("/*  ",'RHS INPUT'!A873,"  */"))</f>
        <v/>
      </c>
      <c r="C873" s="22" t="str">
        <f>if(isblank(A873),,if('RHS INPUT'!D873=1,Concatenate("class ",'RHS INPUT'!C873),))</f>
        <v>class Exile_Car_Van_Fuel_Red</v>
      </c>
      <c r="D873" s="27" t="str">
        <f>if(ISBLANK(A873),,if('RHS INPUT'!D873=1,CONCATENATE("{quality = ",'RHS INPUT'!G873,"; price = ",Round('RHS INPUT'!M873),";};"),""))</f>
        <v>{quality = 1; price = 20000;};</v>
      </c>
      <c r="E873" t="str">
        <f>IFERROR(__xludf.DUMMYFUNCTION("if(ISBLANK(A873),, if('RHS INPUT'!E873=1,CONCATENATE(CHAR(34),To_Text('RHS INPUT'!C873),CHAR(34),CHAR(44)),""""))"),"")</f>
        <v/>
      </c>
      <c r="F873" s="28" t="str">
        <f>IF(isblank(A873) ,Concatenate("&gt; ",'RHS INPUT'!A873) , if('RHS INPUT'!F873=1,CONCATENATE(round('RHS INPUT'!N873),Char(44)," ",'RHS INPUT'!C873),""))</f>
        <v/>
      </c>
    </row>
    <row r="874" ht="12.0" customHeight="1">
      <c r="A874" s="1" t="str">
        <f>IFERROR(__xludf.DUMMYFUNCTION("if(ISBLANK('RHS INPUT'!C874),,CONCATENATE(CHAR(34),To_Text('RHS INPUT'!C874),CHAR(34),CHAR(44)))"),"""Exile_Car_Van_Fuel_Guerilla01"",")</f>
        <v>"Exile_Car_Van_Fuel_Guerilla01",</v>
      </c>
      <c r="B874" s="18" t="str">
        <f>if(isblank('RHS INPUT'!A874),,CONCATENATE("/*  ",'RHS INPUT'!A874,"  */"))</f>
        <v/>
      </c>
      <c r="C874" s="22" t="str">
        <f>if(isblank(A874),,if('RHS INPUT'!D874=1,Concatenate("class ",'RHS INPUT'!C874),))</f>
        <v>class Exile_Car_Van_Fuel_Guerilla01</v>
      </c>
      <c r="D874" s="27" t="str">
        <f>if(ISBLANK(A874),,if('RHS INPUT'!D874=1,CONCATENATE("{quality = ",'RHS INPUT'!G874,"; price = ",Round('RHS INPUT'!M874),";};"),""))</f>
        <v>{quality = 1; price = 20000;};</v>
      </c>
      <c r="E874" t="str">
        <f>IFERROR(__xludf.DUMMYFUNCTION("if(ISBLANK(A874),, if('RHS INPUT'!E874=1,CONCATENATE(CHAR(34),To_Text('RHS INPUT'!C874),CHAR(34),CHAR(44)),""""))"),"")</f>
        <v/>
      </c>
      <c r="F874" s="28" t="str">
        <f>IF(isblank(A874) ,Concatenate("&gt; ",'RHS INPUT'!A874) , if('RHS INPUT'!F874=1,CONCATENATE(round('RHS INPUT'!N874),Char(44)," ",'RHS INPUT'!C874),""))</f>
        <v/>
      </c>
    </row>
    <row r="875" ht="12.0" customHeight="1">
      <c r="A875" s="1" t="str">
        <f>IFERROR(__xludf.DUMMYFUNCTION("if(ISBLANK('RHS INPUT'!C875),,CONCATENATE(CHAR(34),To_Text('RHS INPUT'!C875),CHAR(34),CHAR(44)))"),"""Exile_Car_Van_Fuel_Guerilla02"",")</f>
        <v>"Exile_Car_Van_Fuel_Guerilla02",</v>
      </c>
      <c r="B875" s="18" t="str">
        <f>if(isblank('RHS INPUT'!A875),,CONCATENATE("/*  ",'RHS INPUT'!A875,"  */"))</f>
        <v/>
      </c>
      <c r="C875" s="22" t="str">
        <f>if(isblank(A875),,if('RHS INPUT'!D875=1,Concatenate("class ",'RHS INPUT'!C875),))</f>
        <v>class Exile_Car_Van_Fuel_Guerilla02</v>
      </c>
      <c r="D875" s="27" t="str">
        <f>if(ISBLANK(A875),,if('RHS INPUT'!D875=1,CONCATENATE("{quality = ",'RHS INPUT'!G875,"; price = ",Round('RHS INPUT'!M875),";};"),""))</f>
        <v>{quality = 1; price = 20000;};</v>
      </c>
      <c r="E875" t="str">
        <f>IFERROR(__xludf.DUMMYFUNCTION("if(ISBLANK(A875),, if('RHS INPUT'!E875=1,CONCATENATE(CHAR(34),To_Text('RHS INPUT'!C875),CHAR(34),CHAR(44)),""""))"),"")</f>
        <v/>
      </c>
      <c r="F875" s="28" t="str">
        <f>IF(isblank(A875) ,Concatenate("&gt; ",'RHS INPUT'!A875) , if('RHS INPUT'!F875=1,CONCATENATE(round('RHS INPUT'!N875),Char(44)," ",'RHS INPUT'!C875),""))</f>
        <v/>
      </c>
    </row>
    <row r="876" ht="12.0" customHeight="1">
      <c r="A876" s="1" t="str">
        <f>IFERROR(__xludf.DUMMYFUNCTION("if(ISBLANK('RHS INPUT'!C876),,CONCATENATE(CHAR(34),To_Text('RHS INPUT'!C876),CHAR(34),CHAR(44)))"),"""Exile_Car_Van_Fuel_Guerilla03"",")</f>
        <v>"Exile_Car_Van_Fuel_Guerilla03",</v>
      </c>
      <c r="B876" s="18" t="str">
        <f>if(isblank('RHS INPUT'!A876),,CONCATENATE("/*  ",'RHS INPUT'!A876,"  */"))</f>
        <v/>
      </c>
      <c r="C876" s="22" t="str">
        <f>if(isblank(A876),,if('RHS INPUT'!D876=1,Concatenate("class ",'RHS INPUT'!C876),))</f>
        <v>class Exile_Car_Van_Fuel_Guerilla03</v>
      </c>
      <c r="D876" s="27" t="str">
        <f>if(ISBLANK(A876),,if('RHS INPUT'!D876=1,CONCATENATE("{quality = ",'RHS INPUT'!G876,"; price = ",Round('RHS INPUT'!M876),";};"),""))</f>
        <v>{quality = 1; price = 20000;};</v>
      </c>
      <c r="E876" t="str">
        <f>IFERROR(__xludf.DUMMYFUNCTION("if(ISBLANK(A876),, if('RHS INPUT'!E876=1,CONCATENATE(CHAR(34),To_Text('RHS INPUT'!C876),CHAR(34),CHAR(44)),""""))"),"")</f>
        <v/>
      </c>
      <c r="F876" s="28" t="str">
        <f>IF(isblank(A876) ,Concatenate("&gt; ",'RHS INPUT'!A876) , if('RHS INPUT'!F876=1,CONCATENATE(round('RHS INPUT'!N876),Char(44)," ",'RHS INPUT'!C876),""))</f>
        <v/>
      </c>
    </row>
    <row r="877" ht="12.0" customHeight="1">
      <c r="A877" s="1" t="str">
        <f>IFERROR(__xludf.DUMMYFUNCTION("if(ISBLANK('RHS INPUT'!C877),,CONCATENATE(CHAR(34),To_Text('RHS INPUT'!C877),CHAR(34),CHAR(44)))"),"""Exile_Car_Ikarus_Blue"",")</f>
        <v>"Exile_Car_Ikarus_Blue",</v>
      </c>
      <c r="B877" s="18" t="str">
        <f>if(isblank('RHS INPUT'!A877),,CONCATENATE("/*  ",'RHS INPUT'!A877,"  */"))</f>
        <v/>
      </c>
      <c r="C877" s="22" t="str">
        <f>if(isblank(A877),,if('RHS INPUT'!D877=1,Concatenate("class ",'RHS INPUT'!C877),))</f>
        <v>class Exile_Car_Ikarus_Blue</v>
      </c>
      <c r="D877" s="27" t="str">
        <f>if(ISBLANK(A877),,if('RHS INPUT'!D877=1,CONCATENATE("{quality = ",'RHS INPUT'!G877,"; price = ",Round('RHS INPUT'!M877),";};"),""))</f>
        <v>{quality = 1; price = 19000;};</v>
      </c>
      <c r="E877" t="str">
        <f>IFERROR(__xludf.DUMMYFUNCTION("if(ISBLANK(A877),, if('RHS INPUT'!E877=1,CONCATENATE(CHAR(34),To_Text('RHS INPUT'!C877),CHAR(34),CHAR(44)),""""))"),"""Exile_Car_Ikarus_Blue"",")</f>
        <v>"Exile_Car_Ikarus_Blue",</v>
      </c>
      <c r="F877" s="28" t="str">
        <f>IF(isblank(A877) ,Concatenate("&gt; ",'RHS INPUT'!A877) , if('RHS INPUT'!F877=1,CONCATENATE(round('RHS INPUT'!N877),Char(44)," ",'RHS INPUT'!C877),""))</f>
        <v/>
      </c>
    </row>
    <row r="878" ht="12.0" customHeight="1">
      <c r="A878" s="1" t="str">
        <f>IFERROR(__xludf.DUMMYFUNCTION("if(ISBLANK('RHS INPUT'!C878),,CONCATENATE(CHAR(34),To_Text('RHS INPUT'!C878),CHAR(34),CHAR(44)))"),"""Exile_Car_Ikarus_Red"",")</f>
        <v>"Exile_Car_Ikarus_Red",</v>
      </c>
      <c r="B878" s="18" t="str">
        <f>if(isblank('RHS INPUT'!A878),,CONCATENATE("/*  ",'RHS INPUT'!A878,"  */"))</f>
        <v/>
      </c>
      <c r="C878" s="22" t="str">
        <f>if(isblank(A878),,if('RHS INPUT'!D878=1,Concatenate("class ",'RHS INPUT'!C878),))</f>
        <v>class Exile_Car_Ikarus_Red</v>
      </c>
      <c r="D878" s="27" t="str">
        <f>if(ISBLANK(A878),,if('RHS INPUT'!D878=1,CONCATENATE("{quality = ",'RHS INPUT'!G878,"; price = ",Round('RHS INPUT'!M878),";};"),""))</f>
        <v>{quality = 1; price = 19000;};</v>
      </c>
      <c r="E878" t="str">
        <f>IFERROR(__xludf.DUMMYFUNCTION("if(ISBLANK(A878),, if('RHS INPUT'!E878=1,CONCATENATE(CHAR(34),To_Text('RHS INPUT'!C878),CHAR(34),CHAR(44)),""""))"),"")</f>
        <v/>
      </c>
      <c r="F878" s="28" t="str">
        <f>IF(isblank(A878) ,Concatenate("&gt; ",'RHS INPUT'!A878) , if('RHS INPUT'!F878=1,CONCATENATE(round('RHS INPUT'!N878),Char(44)," ",'RHS INPUT'!C878),""))</f>
        <v/>
      </c>
    </row>
    <row r="879" ht="12.0" customHeight="1">
      <c r="A879" s="1" t="str">
        <f>IFERROR(__xludf.DUMMYFUNCTION("if(ISBLANK('RHS INPUT'!C879),,CONCATENATE(CHAR(34),To_Text('RHS INPUT'!C879),CHAR(34),CHAR(44)))"),"""Exile_Car_Ikarus_Party"",")</f>
        <v>"Exile_Car_Ikarus_Party",</v>
      </c>
      <c r="B879" s="18" t="str">
        <f>if(isblank('RHS INPUT'!A879),,CONCATENATE("/*  ",'RHS INPUT'!A879,"  */"))</f>
        <v/>
      </c>
      <c r="C879" s="22" t="str">
        <f>if(isblank(A879),,if('RHS INPUT'!D879=1,Concatenate("class ",'RHS INPUT'!C879),))</f>
        <v>class Exile_Car_Ikarus_Party</v>
      </c>
      <c r="D879" s="27" t="str">
        <f>if(ISBLANK(A879),,if('RHS INPUT'!D879=1,CONCATENATE("{quality = ",'RHS INPUT'!G879,"; price = ",Round('RHS INPUT'!M879),";};"),""))</f>
        <v>{quality = 1; price = 19000;};</v>
      </c>
      <c r="E879" t="str">
        <f>IFERROR(__xludf.DUMMYFUNCTION("if(ISBLANK(A879),, if('RHS INPUT'!E879=1,CONCATENATE(CHAR(34),To_Text('RHS INPUT'!C879),CHAR(34),CHAR(44)),""""))"),"")</f>
        <v/>
      </c>
      <c r="F879" s="28" t="str">
        <f>IF(isblank(A879) ,Concatenate("&gt; ",'RHS INPUT'!A879) , if('RHS INPUT'!F879=1,CONCATENATE(round('RHS INPUT'!N879),Char(44)," ",'RHS INPUT'!C879),""))</f>
        <v/>
      </c>
    </row>
    <row r="880" ht="12.0" customHeight="1">
      <c r="A880" s="1" t="str">
        <f>IFERROR(__xludf.DUMMYFUNCTION("if(ISBLANK('RHS INPUT'!C880),,CONCATENATE(CHAR(34),To_Text('RHS INPUT'!C880),CHAR(34),CHAR(44)))"),"""Exile_Car_Ural_Open_Worker"",")</f>
        <v>"Exile_Car_Ural_Open_Worker",</v>
      </c>
      <c r="B880" s="18" t="str">
        <f>if(isblank('RHS INPUT'!A880),,CONCATENATE("/*  ",'RHS INPUT'!A880,"  */"))</f>
        <v/>
      </c>
      <c r="C880" s="22" t="str">
        <f>if(isblank(A880),,if('RHS INPUT'!D880=1,Concatenate("class ",'RHS INPUT'!C880),))</f>
        <v>class Exile_Car_Ural_Open_Worker</v>
      </c>
      <c r="D880" s="27" t="str">
        <f>if(ISBLANK(A880),,if('RHS INPUT'!D880=1,CONCATENATE("{quality = ",'RHS INPUT'!G880,"; price = ",Round('RHS INPUT'!M880),";};"),""))</f>
        <v>{quality = 1; price = 22000;};</v>
      </c>
      <c r="E880" t="str">
        <f>IFERROR(__xludf.DUMMYFUNCTION("if(ISBLANK(A880),, if('RHS INPUT'!E880=1,CONCATENATE(CHAR(34),To_Text('RHS INPUT'!C880),CHAR(34),CHAR(44)),""""))"),"""Exile_Car_Ural_Open_Worker"",")</f>
        <v>"Exile_Car_Ural_Open_Worker",</v>
      </c>
      <c r="F880" s="28" t="str">
        <f>IF(isblank(A880) ,Concatenate("&gt; ",'RHS INPUT'!A880) , if('RHS INPUT'!F880=1,CONCATENATE(round('RHS INPUT'!N880),Char(44)," ",'RHS INPUT'!C880),""))</f>
        <v/>
      </c>
    </row>
    <row r="881" ht="12.0" customHeight="1">
      <c r="A881" s="1" t="str">
        <f>IFERROR(__xludf.DUMMYFUNCTION("if(ISBLANK('RHS INPUT'!C881),,CONCATENATE(CHAR(34),To_Text('RHS INPUT'!C881),CHAR(34),CHAR(44)))"),"""Exile_Car_Ural_Open_Blue"",")</f>
        <v>"Exile_Car_Ural_Open_Blue",</v>
      </c>
      <c r="B881" s="18" t="str">
        <f>if(isblank('RHS INPUT'!A881),,CONCATENATE("/*  ",'RHS INPUT'!A881,"  */"))</f>
        <v/>
      </c>
      <c r="C881" s="22" t="str">
        <f>if(isblank(A881),,if('RHS INPUT'!D881=1,Concatenate("class ",'RHS INPUT'!C881),))</f>
        <v>class Exile_Car_Ural_Open_Blue</v>
      </c>
      <c r="D881" s="27" t="str">
        <f>if(ISBLANK(A881),,if('RHS INPUT'!D881=1,CONCATENATE("{quality = ",'RHS INPUT'!G881,"; price = ",Round('RHS INPUT'!M881),";};"),""))</f>
        <v>{quality = 1; price = 22000;};</v>
      </c>
      <c r="E881" t="str">
        <f>IFERROR(__xludf.DUMMYFUNCTION("if(ISBLANK(A881),, if('RHS INPUT'!E881=1,CONCATENATE(CHAR(34),To_Text('RHS INPUT'!C881),CHAR(34),CHAR(44)),""""))"),"")</f>
        <v/>
      </c>
      <c r="F881" s="28" t="str">
        <f>IF(isblank(A881) ,Concatenate("&gt; ",'RHS INPUT'!A881) , if('RHS INPUT'!F881=1,CONCATENATE(round('RHS INPUT'!N881),Char(44)," ",'RHS INPUT'!C881),""))</f>
        <v/>
      </c>
    </row>
    <row r="882" ht="12.0" customHeight="1">
      <c r="A882" s="1" t="str">
        <f>IFERROR(__xludf.DUMMYFUNCTION("if(ISBLANK('RHS INPUT'!C882),,CONCATENATE(CHAR(34),To_Text('RHS INPUT'!C882),CHAR(34),CHAR(44)))"),"""Exile_Car_Ural_Open_Yellow"",")</f>
        <v>"Exile_Car_Ural_Open_Yellow",</v>
      </c>
      <c r="B882" s="18" t="str">
        <f>if(isblank('RHS INPUT'!A882),,CONCATENATE("/*  ",'RHS INPUT'!A882,"  */"))</f>
        <v/>
      </c>
      <c r="C882" s="22" t="str">
        <f>if(isblank(A882),,if('RHS INPUT'!D882=1,Concatenate("class ",'RHS INPUT'!C882),))</f>
        <v>class Exile_Car_Ural_Open_Yellow</v>
      </c>
      <c r="D882" s="27" t="str">
        <f>if(ISBLANK(A882),,if('RHS INPUT'!D882=1,CONCATENATE("{quality = ",'RHS INPUT'!G882,"; price = ",Round('RHS INPUT'!M882),";};"),""))</f>
        <v>{quality = 1; price = 22000;};</v>
      </c>
      <c r="E882" t="str">
        <f>IFERROR(__xludf.DUMMYFUNCTION("if(ISBLANK(A882),, if('RHS INPUT'!E882=1,CONCATENATE(CHAR(34),To_Text('RHS INPUT'!C882),CHAR(34),CHAR(44)),""""))"),"")</f>
        <v/>
      </c>
      <c r="F882" s="28" t="str">
        <f>IF(isblank(A882) ,Concatenate("&gt; ",'RHS INPUT'!A882) , if('RHS INPUT'!F882=1,CONCATENATE(round('RHS INPUT'!N882),Char(44)," ",'RHS INPUT'!C882),""))</f>
        <v/>
      </c>
    </row>
    <row r="883" ht="12.0" customHeight="1">
      <c r="A883" s="1" t="str">
        <f>IFERROR(__xludf.DUMMYFUNCTION("if(ISBLANK('RHS INPUT'!C883),,CONCATENATE(CHAR(34),To_Text('RHS INPUT'!C883),CHAR(34),CHAR(44)))"),"""Exile_Car_Ural_Open_Military"",")</f>
        <v>"Exile_Car_Ural_Open_Military",</v>
      </c>
      <c r="B883" s="18" t="str">
        <f>if(isblank('RHS INPUT'!A883),,CONCATENATE("/*  ",'RHS INPUT'!A883,"  */"))</f>
        <v/>
      </c>
      <c r="C883" s="22" t="str">
        <f>if(isblank(A883),,if('RHS INPUT'!D883=1,Concatenate("class ",'RHS INPUT'!C883),))</f>
        <v>class Exile_Car_Ural_Open_Military</v>
      </c>
      <c r="D883" s="27" t="str">
        <f>if(ISBLANK(A883),,if('RHS INPUT'!D883=1,CONCATENATE("{quality = ",'RHS INPUT'!G883,"; price = ",Round('RHS INPUT'!M883),";};"),""))</f>
        <v>{quality = 1; price = 22000;};</v>
      </c>
      <c r="E883" t="str">
        <f>IFERROR(__xludf.DUMMYFUNCTION("if(ISBLANK(A883),, if('RHS INPUT'!E883=1,CONCATENATE(CHAR(34),To_Text('RHS INPUT'!C883),CHAR(34),CHAR(44)),""""))"),"")</f>
        <v/>
      </c>
      <c r="F883" s="28" t="str">
        <f>IF(isblank(A883) ,Concatenate("&gt; ",'RHS INPUT'!A883) , if('RHS INPUT'!F883=1,CONCATENATE(round('RHS INPUT'!N883),Char(44)," ",'RHS INPUT'!C883),""))</f>
        <v/>
      </c>
    </row>
    <row r="884" ht="12.0" customHeight="1">
      <c r="A884" s="1" t="str">
        <f>IFERROR(__xludf.DUMMYFUNCTION("if(ISBLANK('RHS INPUT'!C884),,CONCATENATE(CHAR(34),To_Text('RHS INPUT'!C884),CHAR(34),CHAR(44)))"),"""Exile_Car_Ural_Covered_Worker"",")</f>
        <v>"Exile_Car_Ural_Covered_Worker",</v>
      </c>
      <c r="B884" s="18" t="str">
        <f>if(isblank('RHS INPUT'!A884),,CONCATENATE("/*  ",'RHS INPUT'!A884,"  */"))</f>
        <v/>
      </c>
      <c r="C884" s="22" t="str">
        <f>if(isblank(A884),,if('RHS INPUT'!D884=1,Concatenate("class ",'RHS INPUT'!C884),))</f>
        <v>class Exile_Car_Ural_Covered_Worker</v>
      </c>
      <c r="D884" s="27" t="str">
        <f>if(ISBLANK(A884),,if('RHS INPUT'!D884=1,CONCATENATE("{quality = ",'RHS INPUT'!G884,"; price = ",Round('RHS INPUT'!M884),";};"),""))</f>
        <v>{quality = 1; price = 23000;};</v>
      </c>
      <c r="E884" t="str">
        <f>IFERROR(__xludf.DUMMYFUNCTION("if(ISBLANK(A884),, if('RHS INPUT'!E884=1,CONCATENATE(CHAR(34),To_Text('RHS INPUT'!C884),CHAR(34),CHAR(44)),""""))"),"""Exile_Car_Ural_Covered_Worker"",")</f>
        <v>"Exile_Car_Ural_Covered_Worker",</v>
      </c>
      <c r="F884" s="28" t="str">
        <f>IF(isblank(A884) ,Concatenate("&gt; ",'RHS INPUT'!A884) , if('RHS INPUT'!F884=1,CONCATENATE(round('RHS INPUT'!N884),Char(44)," ",'RHS INPUT'!C884),""))</f>
        <v/>
      </c>
    </row>
    <row r="885" ht="12.0" customHeight="1">
      <c r="A885" s="1" t="str">
        <f>IFERROR(__xludf.DUMMYFUNCTION("if(ISBLANK('RHS INPUT'!C885),,CONCATENATE(CHAR(34),To_Text('RHS INPUT'!C885),CHAR(34),CHAR(44)))"),"""Exile_Car_Ural_Covered_Blue"",")</f>
        <v>"Exile_Car_Ural_Covered_Blue",</v>
      </c>
      <c r="B885" s="18" t="str">
        <f>if(isblank('RHS INPUT'!A885),,CONCATENATE("/*  ",'RHS INPUT'!A885,"  */"))</f>
        <v/>
      </c>
      <c r="C885" s="22" t="str">
        <f>if(isblank(A885),,if('RHS INPUT'!D885=1,Concatenate("class ",'RHS INPUT'!C885),))</f>
        <v>class Exile_Car_Ural_Covered_Blue</v>
      </c>
      <c r="D885" s="27" t="str">
        <f>if(ISBLANK(A885),,if('RHS INPUT'!D885=1,CONCATENATE("{quality = ",'RHS INPUT'!G885,"; price = ",Round('RHS INPUT'!M885),";};"),""))</f>
        <v>{quality = 1; price = 23000;};</v>
      </c>
      <c r="E885" t="str">
        <f>IFERROR(__xludf.DUMMYFUNCTION("if(ISBLANK(A885),, if('RHS INPUT'!E885=1,CONCATENATE(CHAR(34),To_Text('RHS INPUT'!C885),CHAR(34),CHAR(44)),""""))"),"")</f>
        <v/>
      </c>
      <c r="F885" s="28" t="str">
        <f>IF(isblank(A885) ,Concatenate("&gt; ",'RHS INPUT'!A885) , if('RHS INPUT'!F885=1,CONCATENATE(round('RHS INPUT'!N885),Char(44)," ",'RHS INPUT'!C885),""))</f>
        <v/>
      </c>
    </row>
    <row r="886" ht="12.0" customHeight="1">
      <c r="A886" s="1" t="str">
        <f>IFERROR(__xludf.DUMMYFUNCTION("if(ISBLANK('RHS INPUT'!C886),,CONCATENATE(CHAR(34),To_Text('RHS INPUT'!C886),CHAR(34),CHAR(44)))"),"""Exile_Car_Ural_Covered_Yellow"",")</f>
        <v>"Exile_Car_Ural_Covered_Yellow",</v>
      </c>
      <c r="B886" s="18" t="str">
        <f>if(isblank('RHS INPUT'!A886),,CONCATENATE("/*  ",'RHS INPUT'!A886,"  */"))</f>
        <v/>
      </c>
      <c r="C886" s="22" t="str">
        <f>if(isblank(A886),,if('RHS INPUT'!D886=1,Concatenate("class ",'RHS INPUT'!C886),))</f>
        <v>class Exile_Car_Ural_Covered_Yellow</v>
      </c>
      <c r="D886" s="27" t="str">
        <f>if(ISBLANK(A886),,if('RHS INPUT'!D886=1,CONCATENATE("{quality = ",'RHS INPUT'!G886,"; price = ",Round('RHS INPUT'!M886),";};"),""))</f>
        <v>{quality = 1; price = 23000;};</v>
      </c>
      <c r="E886" t="str">
        <f>IFERROR(__xludf.DUMMYFUNCTION("if(ISBLANK(A886),, if('RHS INPUT'!E886=1,CONCATENATE(CHAR(34),To_Text('RHS INPUT'!C886),CHAR(34),CHAR(44)),""""))"),"")</f>
        <v/>
      </c>
      <c r="F886" s="28" t="str">
        <f>IF(isblank(A886) ,Concatenate("&gt; ",'RHS INPUT'!A886) , if('RHS INPUT'!F886=1,CONCATENATE(round('RHS INPUT'!N886),Char(44)," ",'RHS INPUT'!C886),""))</f>
        <v/>
      </c>
    </row>
    <row r="887" ht="12.0" customHeight="1">
      <c r="A887" s="1" t="str">
        <f>IFERROR(__xludf.DUMMYFUNCTION("if(ISBLANK('RHS INPUT'!C887),,CONCATENATE(CHAR(34),To_Text('RHS INPUT'!C887),CHAR(34),CHAR(44)))"),"""Exile_Car_Ural_Covered_Military"",")</f>
        <v>"Exile_Car_Ural_Covered_Military",</v>
      </c>
      <c r="B887" s="18" t="str">
        <f>if(isblank('RHS INPUT'!A887),,CONCATENATE("/*  ",'RHS INPUT'!A887,"  */"))</f>
        <v/>
      </c>
      <c r="C887" s="22" t="str">
        <f>if(isblank(A887),,if('RHS INPUT'!D887=1,Concatenate("class ",'RHS INPUT'!C887),))</f>
        <v>class Exile_Car_Ural_Covered_Military</v>
      </c>
      <c r="D887" s="27" t="str">
        <f>if(ISBLANK(A887),,if('RHS INPUT'!D887=1,CONCATENATE("{quality = ",'RHS INPUT'!G887,"; price = ",Round('RHS INPUT'!M887),";};"),""))</f>
        <v>{quality = 1; price = 23000;};</v>
      </c>
      <c r="E887" t="str">
        <f>IFERROR(__xludf.DUMMYFUNCTION("if(ISBLANK(A887),, if('RHS INPUT'!E887=1,CONCATENATE(CHAR(34),To_Text('RHS INPUT'!C887),CHAR(34),CHAR(44)),""""))"),"")</f>
        <v/>
      </c>
      <c r="F887" s="28" t="str">
        <f>IF(isblank(A887) ,Concatenate("&gt; ",'RHS INPUT'!A887) , if('RHS INPUT'!F887=1,CONCATENATE(round('RHS INPUT'!N887),Char(44)," ",'RHS INPUT'!C887),""))</f>
        <v/>
      </c>
    </row>
    <row r="888" ht="12.0" customHeight="1">
      <c r="A888" s="1" t="str">
        <f>IFERROR(__xludf.DUMMYFUNCTION("if(ISBLANK('RHS INPUT'!C888),,CONCATENATE(CHAR(34),To_Text('RHS INPUT'!C888),CHAR(34),CHAR(44)))"),"""Exile_Car_Offroad_Armed_Guerilla01"",")</f>
        <v>"Exile_Car_Offroad_Armed_Guerilla01",</v>
      </c>
      <c r="B888" s="18" t="str">
        <f>if(isblank('RHS INPUT'!A888),,CONCATENATE("/*  ",'RHS INPUT'!A888,"  */"))</f>
        <v/>
      </c>
      <c r="C888" s="22" t="str">
        <f>if(isblank(A888),,if('RHS INPUT'!D888=1,Concatenate("class ",'RHS INPUT'!C888),))</f>
        <v>class Exile_Car_Offroad_Armed_Guerilla01</v>
      </c>
      <c r="D888" s="27" t="str">
        <f>if(ISBLANK(A888),,if('RHS INPUT'!D888=1,CONCATENATE("{quality = ",'RHS INPUT'!G888,"; price = ",Round('RHS INPUT'!M888),";};"),""))</f>
        <v>{quality = 1; price = 30000;};</v>
      </c>
      <c r="E888" t="str">
        <f>IFERROR(__xludf.DUMMYFUNCTION("if(ISBLANK(A888),, if('RHS INPUT'!E888=1,CONCATENATE(CHAR(34),To_Text('RHS INPUT'!C888),CHAR(34),CHAR(44)),""""))"),"""Exile_Car_Offroad_Armed_Guerilla01"",")</f>
        <v>"Exile_Car_Offroad_Armed_Guerilla01",</v>
      </c>
      <c r="F888" s="28" t="str">
        <f>IF(isblank(A888) ,Concatenate("&gt; ",'RHS INPUT'!A888) , if('RHS INPUT'!F888=1,CONCATENATE(round('RHS INPUT'!N888),Char(44)," ",'RHS INPUT'!C888),""))</f>
        <v/>
      </c>
    </row>
    <row r="889" ht="12.0" customHeight="1">
      <c r="A889" s="1" t="str">
        <f>IFERROR(__xludf.DUMMYFUNCTION("if(ISBLANK('RHS INPUT'!C889),,CONCATENATE(CHAR(34),To_Text('RHS INPUT'!C889),CHAR(34),CHAR(44)))"),"""Exile_Car_Offroad_Armed_Guerilla02"",")</f>
        <v>"Exile_Car_Offroad_Armed_Guerilla02",</v>
      </c>
      <c r="B889" s="18" t="str">
        <f>if(isblank('RHS INPUT'!A889),,CONCATENATE("/*  ",'RHS INPUT'!A889,"  */"))</f>
        <v/>
      </c>
      <c r="C889" s="22" t="str">
        <f>if(isblank(A889),,if('RHS INPUT'!D889=1,Concatenate("class ",'RHS INPUT'!C889),))</f>
        <v>class Exile_Car_Offroad_Armed_Guerilla02</v>
      </c>
      <c r="D889" s="27" t="str">
        <f>if(ISBLANK(A889),,if('RHS INPUT'!D889=1,CONCATENATE("{quality = ",'RHS INPUT'!G889,"; price = ",Round('RHS INPUT'!M889),";};"),""))</f>
        <v>{quality = 1; price = 30000;};</v>
      </c>
      <c r="E889" t="str">
        <f>IFERROR(__xludf.DUMMYFUNCTION("if(ISBLANK(A889),, if('RHS INPUT'!E889=1,CONCATENATE(CHAR(34),To_Text('RHS INPUT'!C889),CHAR(34),CHAR(44)),""""))"),"")</f>
        <v/>
      </c>
      <c r="F889" s="28" t="str">
        <f>IF(isblank(A889) ,Concatenate("&gt; ",'RHS INPUT'!A889) , if('RHS INPUT'!F889=1,CONCATENATE(round('RHS INPUT'!N889),Char(44)," ",'RHS INPUT'!C889),""))</f>
        <v/>
      </c>
    </row>
    <row r="890" ht="12.0" customHeight="1">
      <c r="A890" s="1" t="str">
        <f>IFERROR(__xludf.DUMMYFUNCTION("if(ISBLANK('RHS INPUT'!C890),,CONCATENATE(CHAR(34),To_Text('RHS INPUT'!C890),CHAR(34),CHAR(44)))"),"""Exile_Car_Offroad_Armed_Guerilla03"",")</f>
        <v>"Exile_Car_Offroad_Armed_Guerilla03",</v>
      </c>
      <c r="B890" s="18" t="str">
        <f>if(isblank('RHS INPUT'!A890),,CONCATENATE("/*  ",'RHS INPUT'!A890,"  */"))</f>
        <v/>
      </c>
      <c r="C890" s="22" t="str">
        <f>if(isblank(A890),,if('RHS INPUT'!D890=1,Concatenate("class ",'RHS INPUT'!C890),))</f>
        <v>class Exile_Car_Offroad_Armed_Guerilla03</v>
      </c>
      <c r="D890" s="27" t="str">
        <f>if(ISBLANK(A890),,if('RHS INPUT'!D890=1,CONCATENATE("{quality = ",'RHS INPUT'!G890,"; price = ",Round('RHS INPUT'!M890),";};"),""))</f>
        <v>{quality = 1; price = 30000;};</v>
      </c>
      <c r="E890" t="str">
        <f>IFERROR(__xludf.DUMMYFUNCTION("if(ISBLANK(A890),, if('RHS INPUT'!E890=1,CONCATENATE(CHAR(34),To_Text('RHS INPUT'!C890),CHAR(34),CHAR(44)),""""))"),"")</f>
        <v/>
      </c>
      <c r="F890" s="28" t="str">
        <f>IF(isblank(A890) ,Concatenate("&gt; ",'RHS INPUT'!A890) , if('RHS INPUT'!F890=1,CONCATENATE(round('RHS INPUT'!N890),Char(44)," ",'RHS INPUT'!C890),""))</f>
        <v/>
      </c>
    </row>
    <row r="891" ht="12.0" customHeight="1">
      <c r="A891" s="1" t="str">
        <f>IFERROR(__xludf.DUMMYFUNCTION("if(ISBLANK('RHS INPUT'!C891),,CONCATENATE(CHAR(34),To_Text('RHS INPUT'!C891),CHAR(34),CHAR(44)))"),"""Exile_Car_Offroad_Armed_Guerilla04"",")</f>
        <v>"Exile_Car_Offroad_Armed_Guerilla04",</v>
      </c>
      <c r="B891" s="18" t="str">
        <f>if(isblank('RHS INPUT'!A891),,CONCATENATE("/*  ",'RHS INPUT'!A891,"  */"))</f>
        <v/>
      </c>
      <c r="C891" s="22" t="str">
        <f>if(isblank(A891),,if('RHS INPUT'!D891=1,Concatenate("class ",'RHS INPUT'!C891),))</f>
        <v>class Exile_Car_Offroad_Armed_Guerilla04</v>
      </c>
      <c r="D891" s="27" t="str">
        <f>if(ISBLANK(A891),,if('RHS INPUT'!D891=1,CONCATENATE("{quality = ",'RHS INPUT'!G891,"; price = ",Round('RHS INPUT'!M891),";};"),""))</f>
        <v>{quality = 1; price = 30000;};</v>
      </c>
      <c r="E891" t="str">
        <f>IFERROR(__xludf.DUMMYFUNCTION("if(ISBLANK(A891),, if('RHS INPUT'!E891=1,CONCATENATE(CHAR(34),To_Text('RHS INPUT'!C891),CHAR(34),CHAR(44)),""""))"),"")</f>
        <v/>
      </c>
      <c r="F891" s="28" t="str">
        <f>IF(isblank(A891) ,Concatenate("&gt; ",'RHS INPUT'!A891) , if('RHS INPUT'!F891=1,CONCATENATE(round('RHS INPUT'!N891),Char(44)," ",'RHS INPUT'!C891),""))</f>
        <v/>
      </c>
    </row>
    <row r="892" ht="12.0" customHeight="1">
      <c r="A892" s="1" t="str">
        <f>IFERROR(__xludf.DUMMYFUNCTION("if(ISBLANK('RHS INPUT'!C892),,CONCATENATE(CHAR(34),To_Text('RHS INPUT'!C892),CHAR(34),CHAR(44)))"),"""Exile_Car_Offroad_Armed_Guerilla05"",")</f>
        <v>"Exile_Car_Offroad_Armed_Guerilla05",</v>
      </c>
      <c r="B892" s="18" t="str">
        <f>if(isblank('RHS INPUT'!A892),,CONCATENATE("/*  ",'RHS INPUT'!A892,"  */"))</f>
        <v/>
      </c>
      <c r="C892" s="22" t="str">
        <f>if(isblank(A892),,if('RHS INPUT'!D892=1,Concatenate("class ",'RHS INPUT'!C892),))</f>
        <v>class Exile_Car_Offroad_Armed_Guerilla05</v>
      </c>
      <c r="D892" s="27" t="str">
        <f>if(ISBLANK(A892),,if('RHS INPUT'!D892=1,CONCATENATE("{quality = ",'RHS INPUT'!G892,"; price = ",Round('RHS INPUT'!M892),";};"),""))</f>
        <v>{quality = 1; price = 30000;};</v>
      </c>
      <c r="E892" t="str">
        <f>IFERROR(__xludf.DUMMYFUNCTION("if(ISBLANK(A892),, if('RHS INPUT'!E892=1,CONCATENATE(CHAR(34),To_Text('RHS INPUT'!C892),CHAR(34),CHAR(44)),""""))"),"")</f>
        <v/>
      </c>
      <c r="F892" s="28" t="str">
        <f>IF(isblank(A892) ,Concatenate("&gt; ",'RHS INPUT'!A892) , if('RHS INPUT'!F892=1,CONCATENATE(round('RHS INPUT'!N892),Char(44)," ",'RHS INPUT'!C892),""))</f>
        <v/>
      </c>
    </row>
    <row r="893" ht="12.0" customHeight="1">
      <c r="A893" s="1" t="str">
        <f>IFERROR(__xludf.DUMMYFUNCTION("if(ISBLANK('RHS INPUT'!C893),,CONCATENATE(CHAR(34),To_Text('RHS INPUT'!C893),CHAR(34),CHAR(44)))"),"""Exile_Car_Offroad_Armed_Guerilla06"",")</f>
        <v>"Exile_Car_Offroad_Armed_Guerilla06",</v>
      </c>
      <c r="B893" s="18" t="str">
        <f>if(isblank('RHS INPUT'!A893),,CONCATENATE("/*  ",'RHS INPUT'!A893,"  */"))</f>
        <v/>
      </c>
      <c r="C893" s="22" t="str">
        <f>if(isblank(A893),,if('RHS INPUT'!D893=1,Concatenate("class ",'RHS INPUT'!C893),))</f>
        <v>class Exile_Car_Offroad_Armed_Guerilla06</v>
      </c>
      <c r="D893" s="27" t="str">
        <f>if(ISBLANK(A893),,if('RHS INPUT'!D893=1,CONCATENATE("{quality = ",'RHS INPUT'!G893,"; price = ",Round('RHS INPUT'!M893),";};"),""))</f>
        <v>{quality = 1; price = 30000;};</v>
      </c>
      <c r="E893" t="str">
        <f>IFERROR(__xludf.DUMMYFUNCTION("if(ISBLANK(A893),, if('RHS INPUT'!E893=1,CONCATENATE(CHAR(34),To_Text('RHS INPUT'!C893),CHAR(34),CHAR(44)),""""))"),"")</f>
        <v/>
      </c>
      <c r="F893" s="28" t="str">
        <f>IF(isblank(A893) ,Concatenate("&gt; ",'RHS INPUT'!A893) , if('RHS INPUT'!F893=1,CONCATENATE(round('RHS INPUT'!N893),Char(44)," ",'RHS INPUT'!C893),""))</f>
        <v/>
      </c>
    </row>
    <row r="894" ht="12.0" customHeight="1">
      <c r="A894" s="1" t="str">
        <f>IFERROR(__xludf.DUMMYFUNCTION("if(ISBLANK('RHS INPUT'!C894),,CONCATENATE(CHAR(34),To_Text('RHS INPUT'!C894),CHAR(34),CHAR(44)))"),"""Exile_Car_Offroad_Armed_Guerilla07"",")</f>
        <v>"Exile_Car_Offroad_Armed_Guerilla07",</v>
      </c>
      <c r="B894" s="18" t="str">
        <f>if(isblank('RHS INPUT'!A894),,CONCATENATE("/*  ",'RHS INPUT'!A894,"  */"))</f>
        <v/>
      </c>
      <c r="C894" s="22" t="str">
        <f>if(isblank(A894),,if('RHS INPUT'!D894=1,Concatenate("class ",'RHS INPUT'!C894),))</f>
        <v>class Exile_Car_Offroad_Armed_Guerilla07</v>
      </c>
      <c r="D894" s="27" t="str">
        <f>if(ISBLANK(A894),,if('RHS INPUT'!D894=1,CONCATENATE("{quality = ",'RHS INPUT'!G894,"; price = ",Round('RHS INPUT'!M894),";};"),""))</f>
        <v>{quality = 1; price = 30000;};</v>
      </c>
      <c r="E894" t="str">
        <f>IFERROR(__xludf.DUMMYFUNCTION("if(ISBLANK(A894),, if('RHS INPUT'!E894=1,CONCATENATE(CHAR(34),To_Text('RHS INPUT'!C894),CHAR(34),CHAR(44)),""""))"),"")</f>
        <v/>
      </c>
      <c r="F894" s="28" t="str">
        <f>IF(isblank(A894) ,Concatenate("&gt; ",'RHS INPUT'!A894) , if('RHS INPUT'!F894=1,CONCATENATE(round('RHS INPUT'!N894),Char(44)," ",'RHS INPUT'!C894),""))</f>
        <v/>
      </c>
    </row>
    <row r="895" ht="12.0" customHeight="1">
      <c r="A895" s="1" t="str">
        <f>IFERROR(__xludf.DUMMYFUNCTION("if(ISBLANK('RHS INPUT'!C895),,CONCATENATE(CHAR(34),To_Text('RHS INPUT'!C895),CHAR(34),CHAR(44)))"),"""Exile_Car_Offroad_Armed_Guerilla08"",")</f>
        <v>"Exile_Car_Offroad_Armed_Guerilla08",</v>
      </c>
      <c r="B895" s="18" t="str">
        <f>if(isblank('RHS INPUT'!A895),,CONCATENATE("/*  ",'RHS INPUT'!A895,"  */"))</f>
        <v/>
      </c>
      <c r="C895" s="22" t="str">
        <f>if(isblank(A895),,if('RHS INPUT'!D895=1,Concatenate("class ",'RHS INPUT'!C895),))</f>
        <v>class Exile_Car_Offroad_Armed_Guerilla08</v>
      </c>
      <c r="D895" s="27" t="str">
        <f>if(ISBLANK(A895),,if('RHS INPUT'!D895=1,CONCATENATE("{quality = ",'RHS INPUT'!G895,"; price = ",Round('RHS INPUT'!M895),";};"),""))</f>
        <v>{quality = 1; price = 30000;};</v>
      </c>
      <c r="E895" t="str">
        <f>IFERROR(__xludf.DUMMYFUNCTION("if(ISBLANK(A895),, if('RHS INPUT'!E895=1,CONCATENATE(CHAR(34),To_Text('RHS INPUT'!C895),CHAR(34),CHAR(44)),""""))"),"")</f>
        <v/>
      </c>
      <c r="F895" s="28" t="str">
        <f>IF(isblank(A895) ,Concatenate("&gt; ",'RHS INPUT'!A895) , if('RHS INPUT'!F895=1,CONCATENATE(round('RHS INPUT'!N895),Char(44)," ",'RHS INPUT'!C895),""))</f>
        <v/>
      </c>
    </row>
    <row r="896" ht="12.0" customHeight="1">
      <c r="A896" s="1" t="str">
        <f>IFERROR(__xludf.DUMMYFUNCTION("if(ISBLANK('RHS INPUT'!C896),,CONCATENATE(CHAR(34),To_Text('RHS INPUT'!C896),CHAR(34),CHAR(44)))"),"""Exile_Car_Offroad_Armed_Guerilla09"",")</f>
        <v>"Exile_Car_Offroad_Armed_Guerilla09",</v>
      </c>
      <c r="B896" s="18" t="str">
        <f>if(isblank('RHS INPUT'!A896),,CONCATENATE("/*  ",'RHS INPUT'!A896,"  */"))</f>
        <v/>
      </c>
      <c r="C896" s="22" t="str">
        <f>if(isblank(A896),,if('RHS INPUT'!D896=1,Concatenate("class ",'RHS INPUT'!C896),))</f>
        <v>class Exile_Car_Offroad_Armed_Guerilla09</v>
      </c>
      <c r="D896" s="27" t="str">
        <f>if(ISBLANK(A896),,if('RHS INPUT'!D896=1,CONCATENATE("{quality = ",'RHS INPUT'!G896,"; price = ",Round('RHS INPUT'!M896),";};"),""))</f>
        <v>{quality = 1; price = 30000;};</v>
      </c>
      <c r="E896" t="str">
        <f>IFERROR(__xludf.DUMMYFUNCTION("if(ISBLANK(A896),, if('RHS INPUT'!E896=1,CONCATENATE(CHAR(34),To_Text('RHS INPUT'!C896),CHAR(34),CHAR(44)),""""))"),"")</f>
        <v/>
      </c>
      <c r="F896" s="28" t="str">
        <f>IF(isblank(A896) ,Concatenate("&gt; ",'RHS INPUT'!A896) , if('RHS INPUT'!F896=1,CONCATENATE(round('RHS INPUT'!N896),Char(44)," ",'RHS INPUT'!C896),""))</f>
        <v/>
      </c>
    </row>
    <row r="897" ht="12.0" customHeight="1">
      <c r="A897" s="1" t="str">
        <f>IFERROR(__xludf.DUMMYFUNCTION("if(ISBLANK('RHS INPUT'!C897),,CONCATENATE(CHAR(34),To_Text('RHS INPUT'!C897),CHAR(34),CHAR(44)))"),"""Exile_Car_Offroad_Armed_Guerilla10"",")</f>
        <v>"Exile_Car_Offroad_Armed_Guerilla10",</v>
      </c>
      <c r="B897" s="18" t="str">
        <f>if(isblank('RHS INPUT'!A897),,CONCATENATE("/*  ",'RHS INPUT'!A897,"  */"))</f>
        <v/>
      </c>
      <c r="C897" s="22" t="str">
        <f>if(isblank(A897),,if('RHS INPUT'!D897=1,Concatenate("class ",'RHS INPUT'!C897),))</f>
        <v>class Exile_Car_Offroad_Armed_Guerilla10</v>
      </c>
      <c r="D897" s="27" t="str">
        <f>if(ISBLANK(A897),,if('RHS INPUT'!D897=1,CONCATENATE("{quality = ",'RHS INPUT'!G897,"; price = ",Round('RHS INPUT'!M897),";};"),""))</f>
        <v>{quality = 1; price = 30000;};</v>
      </c>
      <c r="E897" t="str">
        <f>IFERROR(__xludf.DUMMYFUNCTION("if(ISBLANK(A897),, if('RHS INPUT'!E897=1,CONCATENATE(CHAR(34),To_Text('RHS INPUT'!C897),CHAR(34),CHAR(44)),""""))"),"")</f>
        <v/>
      </c>
      <c r="F897" s="28" t="str">
        <f>IF(isblank(A897) ,Concatenate("&gt; ",'RHS INPUT'!A897) , if('RHS INPUT'!F897=1,CONCATENATE(round('RHS INPUT'!N897),Char(44)," ",'RHS INPUT'!C897),""))</f>
        <v/>
      </c>
    </row>
    <row r="898" ht="12.0" customHeight="1">
      <c r="A898" s="1" t="str">
        <f>IFERROR(__xludf.DUMMYFUNCTION("if(ISBLANK('RHS INPUT'!C898),,CONCATENATE(CHAR(34),To_Text('RHS INPUT'!C898),CHAR(34),CHAR(44)))"),"""Exile_Car_Offroad_Armed_Guerilla11"",")</f>
        <v>"Exile_Car_Offroad_Armed_Guerilla11",</v>
      </c>
      <c r="B898" s="18" t="str">
        <f>if(isblank('RHS INPUT'!A898),,CONCATENATE("/*  ",'RHS INPUT'!A898,"  */"))</f>
        <v/>
      </c>
      <c r="C898" s="22" t="str">
        <f>if(isblank(A898),,if('RHS INPUT'!D898=1,Concatenate("class ",'RHS INPUT'!C898),))</f>
        <v>class Exile_Car_Offroad_Armed_Guerilla11</v>
      </c>
      <c r="D898" s="27" t="str">
        <f>if(ISBLANK(A898),,if('RHS INPUT'!D898=1,CONCATENATE("{quality = ",'RHS INPUT'!G898,"; price = ",Round('RHS INPUT'!M898),";};"),""))</f>
        <v>{quality = 1; price = 30000;};</v>
      </c>
      <c r="E898" t="str">
        <f>IFERROR(__xludf.DUMMYFUNCTION("if(ISBLANK(A898),, if('RHS INPUT'!E898=1,CONCATENATE(CHAR(34),To_Text('RHS INPUT'!C898),CHAR(34),CHAR(44)),""""))"),"")</f>
        <v/>
      </c>
      <c r="F898" s="28" t="str">
        <f>IF(isblank(A898) ,Concatenate("&gt; ",'RHS INPUT'!A898) , if('RHS INPUT'!F898=1,CONCATENATE(round('RHS INPUT'!N898),Char(44)," ",'RHS INPUT'!C898),""))</f>
        <v/>
      </c>
    </row>
    <row r="899" ht="12.0" customHeight="1">
      <c r="A899" s="1" t="str">
        <f>IFERROR(__xludf.DUMMYFUNCTION("if(ISBLANK('RHS INPUT'!C899),,CONCATENATE(CHAR(34),To_Text('RHS INPUT'!C899),CHAR(34),CHAR(44)))"),"""Exile_Car_Offroad_Armed_Guerilla12"",")</f>
        <v>"Exile_Car_Offroad_Armed_Guerilla12",</v>
      </c>
      <c r="B899" s="18" t="str">
        <f>if(isblank('RHS INPUT'!A899),,CONCATENATE("/*  ",'RHS INPUT'!A899,"  */"))</f>
        <v/>
      </c>
      <c r="C899" s="22" t="str">
        <f>if(isblank(A899),,if('RHS INPUT'!D899=1,Concatenate("class ",'RHS INPUT'!C899),))</f>
        <v>class Exile_Car_Offroad_Armed_Guerilla12</v>
      </c>
      <c r="D899" s="27" t="str">
        <f>if(ISBLANK(A899),,if('RHS INPUT'!D899=1,CONCATENATE("{quality = ",'RHS INPUT'!G899,"; price = ",Round('RHS INPUT'!M899),";};"),""))</f>
        <v>{quality = 1; price = 30000;};</v>
      </c>
      <c r="E899" t="str">
        <f>IFERROR(__xludf.DUMMYFUNCTION("if(ISBLANK(A899),, if('RHS INPUT'!E899=1,CONCATENATE(CHAR(34),To_Text('RHS INPUT'!C899),CHAR(34),CHAR(44)),""""))"),"")</f>
        <v/>
      </c>
      <c r="F899" s="28" t="str">
        <f>IF(isblank(A899) ,Concatenate("&gt; ",'RHS INPUT'!A899) , if('RHS INPUT'!F899=1,CONCATENATE(round('RHS INPUT'!N899),Char(44)," ",'RHS INPUT'!C899),""))</f>
        <v/>
      </c>
    </row>
    <row r="900" ht="12.0" customHeight="1">
      <c r="A900" s="1" t="str">
        <f>IFERROR(__xludf.DUMMYFUNCTION("if(ISBLANK('RHS INPUT'!C900),,CONCATENATE(CHAR(34),To_Text('RHS INPUT'!C900),CHAR(34),CHAR(44)))"),"""Exile_Car_Zamak"",")</f>
        <v>"Exile_Car_Zamak",</v>
      </c>
      <c r="B900" s="18" t="str">
        <f>if(isblank('RHS INPUT'!A900),,CONCATENATE("/*  ",'RHS INPUT'!A900,"  */"))</f>
        <v/>
      </c>
      <c r="C900" s="22" t="str">
        <f>if(isblank(A900),,if('RHS INPUT'!D900=1,Concatenate("class ",'RHS INPUT'!C900),))</f>
        <v>class Exile_Car_Zamak</v>
      </c>
      <c r="D900" s="27" t="str">
        <f>if(ISBLANK(A900),,if('RHS INPUT'!D900=1,CONCATENATE("{quality = ",'RHS INPUT'!G900,"; price = ",Round('RHS INPUT'!M900),";};"),""))</f>
        <v>{quality = 1; price = 40000;};</v>
      </c>
      <c r="E900" t="str">
        <f>IFERROR(__xludf.DUMMYFUNCTION("if(ISBLANK(A900),, if('RHS INPUT'!E900=1,CONCATENATE(CHAR(34),To_Text('RHS INPUT'!C900),CHAR(34),CHAR(44)),""""))"),"""Exile_Car_Zamak"",")</f>
        <v>"Exile_Car_Zamak",</v>
      </c>
      <c r="F900" s="28" t="str">
        <f>IF(isblank(A900) ,Concatenate("&gt; ",'RHS INPUT'!A900) , if('RHS INPUT'!F900=1,CONCATENATE(round('RHS INPUT'!N900),Char(44)," ",'RHS INPUT'!C900),""))</f>
        <v/>
      </c>
    </row>
    <row r="901" ht="12.0" customHeight="1">
      <c r="A901" s="1" t="str">
        <f>IFERROR(__xludf.DUMMYFUNCTION("if(ISBLANK('RHS INPUT'!C901),,CONCATENATE(CHAR(34),To_Text('RHS INPUT'!C901),CHAR(34),CHAR(44)))"),"""Exile_Car_HEMMT"",")</f>
        <v>"Exile_Car_HEMMT",</v>
      </c>
      <c r="B901" s="18" t="str">
        <f>if(isblank('RHS INPUT'!A901),,CONCATENATE("/*  ",'RHS INPUT'!A901,"  */"))</f>
        <v/>
      </c>
      <c r="C901" s="22" t="str">
        <f>if(isblank(A901),,if('RHS INPUT'!D901=1,Concatenate("class ",'RHS INPUT'!C901),))</f>
        <v>class Exile_Car_HEMMT</v>
      </c>
      <c r="D901" s="27" t="str">
        <f>if(ISBLANK(A901),,if('RHS INPUT'!D901=1,CONCATENATE("{quality = ",'RHS INPUT'!G901,"; price = ",Round('RHS INPUT'!M901),";};"),""))</f>
        <v>{quality = 1; price = 43000;};</v>
      </c>
      <c r="E901" t="str">
        <f>IFERROR(__xludf.DUMMYFUNCTION("if(ISBLANK(A901),, if('RHS INPUT'!E901=1,CONCATENATE(CHAR(34),To_Text('RHS INPUT'!C901),CHAR(34),CHAR(44)),""""))"),"""Exile_Car_HEMMT"",")</f>
        <v>"Exile_Car_HEMMT",</v>
      </c>
      <c r="F901" s="28" t="str">
        <f>IF(isblank(A901) ,Concatenate("&gt; ",'RHS INPUT'!A901) , if('RHS INPUT'!F901=1,CONCATENATE(round('RHS INPUT'!N901),Char(44)," ",'RHS INPUT'!C901),""))</f>
        <v/>
      </c>
    </row>
    <row r="902" ht="12.0" customHeight="1">
      <c r="A902" s="1" t="str">
        <f>IFERROR(__xludf.DUMMYFUNCTION("if(ISBLANK('RHS INPUT'!C902),,CONCATENATE(CHAR(34),To_Text('RHS INPUT'!C902),CHAR(34),CHAR(44)))"),"""Exile_Car_Tempest"",")</f>
        <v>"Exile_Car_Tempest",</v>
      </c>
      <c r="B902" s="18" t="str">
        <f>if(isblank('RHS INPUT'!A902),,CONCATENATE("/*  ",'RHS INPUT'!A902,"  */"))</f>
        <v/>
      </c>
      <c r="C902" s="22" t="str">
        <f>if(isblank(A902),,if('RHS INPUT'!D902=1,Concatenate("class ",'RHS INPUT'!C902),))</f>
        <v>class Exile_Car_Tempest</v>
      </c>
      <c r="D902" s="27" t="str">
        <f>if(ISBLANK(A902),,if('RHS INPUT'!D902=1,CONCATENATE("{quality = ",'RHS INPUT'!G902,"; price = ",Round('RHS INPUT'!M902),";};"),""))</f>
        <v>{quality = 1; price = 45000;};</v>
      </c>
      <c r="E902" t="str">
        <f>IFERROR(__xludf.DUMMYFUNCTION("if(ISBLANK(A902),, if('RHS INPUT'!E902=1,CONCATENATE(CHAR(34),To_Text('RHS INPUT'!C902),CHAR(34),CHAR(44)),""""))"),"""Exile_Car_Tempest"",")</f>
        <v>"Exile_Car_Tempest",</v>
      </c>
      <c r="F902" s="28" t="str">
        <f>IF(isblank(A902) ,Concatenate("&gt; ",'RHS INPUT'!A902) , if('RHS INPUT'!F902=1,CONCATENATE(round('RHS INPUT'!N902),Char(44)," ",'RHS INPUT'!C902),""))</f>
        <v/>
      </c>
    </row>
    <row r="903" ht="12.0" customHeight="1">
      <c r="A903" s="1" t="str">
        <f>IFERROR(__xludf.DUMMYFUNCTION("if(ISBLANK('RHS INPUT'!C903),,CONCATENATE(CHAR(34),To_Text('RHS INPUT'!C903),CHAR(34),CHAR(44)))"),"""Exile_Car_Ifrit"",")</f>
        <v>"Exile_Car_Ifrit",</v>
      </c>
      <c r="B903" s="18" t="str">
        <f>if(isblank('RHS INPUT'!A903),,CONCATENATE("/*  ",'RHS INPUT'!A903,"  */"))</f>
        <v/>
      </c>
      <c r="C903" s="22" t="str">
        <f>if(isblank(A903),,if('RHS INPUT'!D903=1,Concatenate("class ",'RHS INPUT'!C903),))</f>
        <v>class Exile_Car_Ifrit</v>
      </c>
      <c r="D903" s="27" t="str">
        <f>if(ISBLANK(A903),,if('RHS INPUT'!D903=1,CONCATENATE("{quality = ",'RHS INPUT'!G903,"; price = ",Round('RHS INPUT'!M903),";};"),""))</f>
        <v>{quality = 1; price = 28000;};</v>
      </c>
      <c r="E903" t="str">
        <f>IFERROR(__xludf.DUMMYFUNCTION("if(ISBLANK(A903),, if('RHS INPUT'!E903=1,CONCATENATE(CHAR(34),To_Text('RHS INPUT'!C903),CHAR(34),CHAR(44)),""""))"),"""Exile_Car_Ifrit"",")</f>
        <v>"Exile_Car_Ifrit",</v>
      </c>
      <c r="F903" s="28" t="str">
        <f>IF(isblank(A903) ,Concatenate("&gt; ",'RHS INPUT'!A903) , if('RHS INPUT'!F903=1,CONCATENATE(round('RHS INPUT'!N903),Char(44)," ",'RHS INPUT'!C903),""))</f>
        <v/>
      </c>
    </row>
    <row r="904" ht="12.0" customHeight="1">
      <c r="A904" s="1" t="str">
        <f>IFERROR(__xludf.DUMMYFUNCTION("if(ISBLANK('RHS INPUT'!C904),,CONCATENATE(CHAR(34),To_Text('RHS INPUT'!C904),CHAR(34),CHAR(44)))"),"""Exile_Car_Hunter"",")</f>
        <v>"Exile_Car_Hunter",</v>
      </c>
      <c r="B904" s="18" t="str">
        <f>if(isblank('RHS INPUT'!A904),,CONCATENATE("/*  ",'RHS INPUT'!A904,"  */"))</f>
        <v/>
      </c>
      <c r="C904" s="22" t="str">
        <f>if(isblank(A904),,if('RHS INPUT'!D904=1,Concatenate("class ",'RHS INPUT'!C904),))</f>
        <v>class Exile_Car_Hunter</v>
      </c>
      <c r="D904" s="27" t="str">
        <f>if(ISBLANK(A904),,if('RHS INPUT'!D904=1,CONCATENATE("{quality = ",'RHS INPUT'!G904,"; price = ",Round('RHS INPUT'!M904),";};"),""))</f>
        <v>{quality = 1; price = 32000;};</v>
      </c>
      <c r="E904" t="str">
        <f>IFERROR(__xludf.DUMMYFUNCTION("if(ISBLANK(A904),, if('RHS INPUT'!E904=1,CONCATENATE(CHAR(34),To_Text('RHS INPUT'!C904),CHAR(34),CHAR(44)),""""))"),"""Exile_Car_Hunter"",")</f>
        <v>"Exile_Car_Hunter",</v>
      </c>
      <c r="F904" s="28" t="str">
        <f>IF(isblank(A904) ,Concatenate("&gt; ",'RHS INPUT'!A904) , if('RHS INPUT'!F904=1,CONCATENATE(round('RHS INPUT'!N904),Char(44)," ",'RHS INPUT'!C904),""))</f>
        <v/>
      </c>
    </row>
    <row r="905" ht="12.0" customHeight="1">
      <c r="A905" s="1" t="str">
        <f>IFERROR(__xludf.DUMMYFUNCTION("if(ISBLANK('RHS INPUT'!C905),,CONCATENATE(CHAR(34),To_Text('RHS INPUT'!C905),CHAR(34),CHAR(44)))"),"""Exile_Car_Strider"",")</f>
        <v>"Exile_Car_Strider",</v>
      </c>
      <c r="B905" s="18" t="str">
        <f>if(isblank('RHS INPUT'!A905),,CONCATENATE("/*  ",'RHS INPUT'!A905,"  */"))</f>
        <v/>
      </c>
      <c r="C905" s="22" t="str">
        <f>if(isblank(A905),,if('RHS INPUT'!D905=1,Concatenate("class ",'RHS INPUT'!C905),))</f>
        <v>class Exile_Car_Strider</v>
      </c>
      <c r="D905" s="27" t="str">
        <f>if(ISBLANK(A905),,if('RHS INPUT'!D905=1,CONCATENATE("{quality = ",'RHS INPUT'!G905,"; price = ",Round('RHS INPUT'!M905),";};"),""))</f>
        <v>{quality = 1; price = 36000;};</v>
      </c>
      <c r="E905" t="str">
        <f>IFERROR(__xludf.DUMMYFUNCTION("if(ISBLANK(A905),, if('RHS INPUT'!E905=1,CONCATENATE(CHAR(34),To_Text('RHS INPUT'!C905),CHAR(34),CHAR(44)),""""))"),"""Exile_Car_Strider"",")</f>
        <v>"Exile_Car_Strider",</v>
      </c>
      <c r="F905" s="28" t="str">
        <f>IF(isblank(A905) ,Concatenate("&gt; ",'RHS INPUT'!A905) , if('RHS INPUT'!F905=1,CONCATENATE(round('RHS INPUT'!N905),Char(44)," ",'RHS INPUT'!C905),""))</f>
        <v/>
      </c>
    </row>
    <row r="906" ht="12.0" customHeight="1">
      <c r="A906" s="1" t="str">
        <f>IFERROR(__xludf.DUMMYFUNCTION("if(ISBLANK('RHS INPUT'!C906),,CONCATENATE(CHAR(34),To_Text('RHS INPUT'!C906),CHAR(34),CHAR(44)))"),"""rhs_gaz66_vdv"",")</f>
        <v>"rhs_gaz66_vdv",</v>
      </c>
      <c r="B906" s="18" t="str">
        <f>if(isblank('RHS INPUT'!A906),,CONCATENATE("/*  ",'RHS INPUT'!A906,"  */"))</f>
        <v/>
      </c>
      <c r="C906" s="22" t="str">
        <f>if(isblank(A906),,if('RHS INPUT'!D906=1,Concatenate("class ",'RHS INPUT'!C906),))</f>
        <v>class rhs_gaz66_vdv</v>
      </c>
      <c r="D906" s="27" t="str">
        <f>if(ISBLANK(A906),,if('RHS INPUT'!D906=1,CONCATENATE("{quality = ",'RHS INPUT'!G906,"; price = ",Round('RHS INPUT'!M906),";};"),""))</f>
        <v>{quality = 1; price = 15000;};</v>
      </c>
      <c r="E906" t="str">
        <f>IFERROR(__xludf.DUMMYFUNCTION("if(ISBLANK(A906),, if('RHS INPUT'!E906=1,CONCATENATE(CHAR(34),To_Text('RHS INPUT'!C906),CHAR(34),CHAR(44)),""""))"),"""rhs_gaz66_vdv"",")</f>
        <v>"rhs_gaz66_vdv",</v>
      </c>
      <c r="F906" s="28" t="str">
        <f>IF(isblank(A906) ,Concatenate("&gt; ",'RHS INPUT'!A906) , if('RHS INPUT'!F906=1,CONCATENATE(round('RHS INPUT'!N906),Char(44)," ",'RHS INPUT'!C906),""))</f>
        <v/>
      </c>
    </row>
    <row r="907" ht="12.0" customHeight="1">
      <c r="A907" s="1" t="str">
        <f>IFERROR(__xludf.DUMMYFUNCTION("if(ISBLANK('RHS INPUT'!C907),,CONCATENATE(CHAR(34),To_Text('RHS INPUT'!C907),CHAR(34),CHAR(44)))"),"""rhs_gaz66o_vdv"",")</f>
        <v>"rhs_gaz66o_vdv",</v>
      </c>
      <c r="B907" s="18" t="str">
        <f>if(isblank('RHS INPUT'!A907),,CONCATENATE("/*  ",'RHS INPUT'!A907,"  */"))</f>
        <v/>
      </c>
      <c r="C907" s="22" t="str">
        <f>if(isblank(A907),,if('RHS INPUT'!D907=1,Concatenate("class ",'RHS INPUT'!C907),))</f>
        <v>class rhs_gaz66o_vdv</v>
      </c>
      <c r="D907" s="27" t="str">
        <f>if(ISBLANK(A907),,if('RHS INPUT'!D907=1,CONCATENATE("{quality = ",'RHS INPUT'!G907,"; price = ",Round('RHS INPUT'!M907),";};"),""))</f>
        <v>{quality = 1; price = 15000;};</v>
      </c>
      <c r="E907" t="str">
        <f>IFERROR(__xludf.DUMMYFUNCTION("if(ISBLANK(A907),, if('RHS INPUT'!E907=1,CONCATENATE(CHAR(34),To_Text('RHS INPUT'!C907),CHAR(34),CHAR(44)),""""))"),"""rhs_gaz66o_vdv"",")</f>
        <v>"rhs_gaz66o_vdv",</v>
      </c>
      <c r="F907" s="28" t="str">
        <f>IF(isblank(A907) ,Concatenate("&gt; ",'RHS INPUT'!A907) , if('RHS INPUT'!F907=1,CONCATENATE(round('RHS INPUT'!N907),Char(44)," ",'RHS INPUT'!C907),""))</f>
        <v/>
      </c>
    </row>
    <row r="908" ht="12.0" customHeight="1">
      <c r="A908" s="1" t="str">
        <f>IFERROR(__xludf.DUMMYFUNCTION("if(ISBLANK('RHS INPUT'!C908),,CONCATENATE(CHAR(34),To_Text('RHS INPUT'!C908),CHAR(34),CHAR(44)))"),"""rhs_gaz66_ap2_vdv"",")</f>
        <v>"rhs_gaz66_ap2_vdv",</v>
      </c>
      <c r="B908" s="18" t="str">
        <f>if(isblank('RHS INPUT'!A908),,CONCATENATE("/*  ",'RHS INPUT'!A908,"  */"))</f>
        <v/>
      </c>
      <c r="C908" s="22" t="str">
        <f>if(isblank(A908),,if('RHS INPUT'!D908=1,Concatenate("class ",'RHS INPUT'!C908),))</f>
        <v>class rhs_gaz66_ap2_vdv</v>
      </c>
      <c r="D908" s="27" t="str">
        <f>if(ISBLANK(A908),,if('RHS INPUT'!D908=1,CONCATENATE("{quality = ",'RHS INPUT'!G908,"; price = ",Round('RHS INPUT'!M908),";};"),""))</f>
        <v>{quality = 1; price = 15000;};</v>
      </c>
      <c r="E908" t="str">
        <f>IFERROR(__xludf.DUMMYFUNCTION("if(ISBLANK(A908),, if('RHS INPUT'!E908=1,CONCATENATE(CHAR(34),To_Text('RHS INPUT'!C908),CHAR(34),CHAR(44)),""""))"),"""rhs_gaz66_ap2_vdv"",")</f>
        <v>"rhs_gaz66_ap2_vdv",</v>
      </c>
      <c r="F908" s="28" t="str">
        <f>IF(isblank(A908) ,Concatenate("&gt; ",'RHS INPUT'!A908) , if('RHS INPUT'!F908=1,CONCATENATE(round('RHS INPUT'!N908),Char(44)," ",'RHS INPUT'!C908),""))</f>
        <v/>
      </c>
    </row>
    <row r="909" ht="12.0" customHeight="1">
      <c r="A909" s="1" t="str">
        <f>IFERROR(__xludf.DUMMYFUNCTION("if(ISBLANK('RHS INPUT'!C909),,CONCATENATE(CHAR(34),To_Text('RHS INPUT'!C909),CHAR(34),CHAR(44)))"),"""rhs_gaz66_repair_vdv"",")</f>
        <v>"rhs_gaz66_repair_vdv",</v>
      </c>
      <c r="B909" s="18" t="str">
        <f>if(isblank('RHS INPUT'!A909),,CONCATENATE("/*  ",'RHS INPUT'!A909,"  */"))</f>
        <v/>
      </c>
      <c r="C909" s="22" t="str">
        <f>if(isblank(A909),,if('RHS INPUT'!D909=1,Concatenate("class ",'RHS INPUT'!C909),))</f>
        <v>class rhs_gaz66_repair_vdv</v>
      </c>
      <c r="D909" s="27" t="str">
        <f>if(ISBLANK(A909),,if('RHS INPUT'!D909=1,CONCATENATE("{quality = ",'RHS INPUT'!G909,"; price = ",Round('RHS INPUT'!M909),";};"),""))</f>
        <v>{quality = 1; price = 20000;};</v>
      </c>
      <c r="E909" t="str">
        <f>IFERROR(__xludf.DUMMYFUNCTION("if(ISBLANK(A909),, if('RHS INPUT'!E909=1,CONCATENATE(CHAR(34),To_Text('RHS INPUT'!C909),CHAR(34),CHAR(44)),""""))"),"""rhs_gaz66_repair_vdv"",")</f>
        <v>"rhs_gaz66_repair_vdv",</v>
      </c>
      <c r="F909" s="28" t="str">
        <f>IF(isblank(A909) ,Concatenate("&gt; ",'RHS INPUT'!A909) , if('RHS INPUT'!F909=1,CONCATENATE(round('RHS INPUT'!N909),Char(44)," ",'RHS INPUT'!C909),""))</f>
        <v/>
      </c>
    </row>
    <row r="910" ht="12.0" customHeight="1">
      <c r="A910" s="1" t="str">
        <f>IFERROR(__xludf.DUMMYFUNCTION("if(ISBLANK('RHS INPUT'!C910),,CONCATENATE(CHAR(34),To_Text('RHS INPUT'!C910),CHAR(34),CHAR(44)))"),"""RHS_Ural_Fuel_VDV_01"",")</f>
        <v>"RHS_Ural_Fuel_VDV_01",</v>
      </c>
      <c r="B910" s="18" t="str">
        <f>if(isblank('RHS INPUT'!A910),,CONCATENATE("/*  ",'RHS INPUT'!A910,"  */"))</f>
        <v/>
      </c>
      <c r="C910" s="22" t="str">
        <f>if(isblank(A910),,if('RHS INPUT'!D910=1,Concatenate("class ",'RHS INPUT'!C910),))</f>
        <v>class RHS_Ural_Fuel_VDV_01</v>
      </c>
      <c r="D910" s="27" t="str">
        <f>if(ISBLANK(A910),,if('RHS INPUT'!D910=1,CONCATENATE("{quality = ",'RHS INPUT'!G910,"; price = ",Round('RHS INPUT'!M910),";};"),""))</f>
        <v>{quality = 1; price = 35000;};</v>
      </c>
      <c r="E910" t="str">
        <f>IFERROR(__xludf.DUMMYFUNCTION("if(ISBLANK(A910),, if('RHS INPUT'!E910=1,CONCATENATE(CHAR(34),To_Text('RHS INPUT'!C910),CHAR(34),CHAR(44)),""""))"),"""RHS_Ural_Fuel_VDV_01"",")</f>
        <v>"RHS_Ural_Fuel_VDV_01",</v>
      </c>
      <c r="F910" s="28" t="str">
        <f>IF(isblank(A910) ,Concatenate("&gt; ",'RHS INPUT'!A910) , if('RHS INPUT'!F910=1,CONCATENATE(round('RHS INPUT'!N910),Char(44)," ",'RHS INPUT'!C910),""))</f>
        <v/>
      </c>
    </row>
    <row r="911" ht="12.0" customHeight="1">
      <c r="A911" s="1" t="str">
        <f>IFERROR(__xludf.DUMMYFUNCTION("if(ISBLANK('RHS INPUT'!C911),,CONCATENATE(CHAR(34),To_Text('RHS INPUT'!C911),CHAR(34),CHAR(44)))"),"""rhsusf_rg33_d"",")</f>
        <v>"rhsusf_rg33_d",</v>
      </c>
      <c r="B911" s="18" t="str">
        <f>if(isblank('RHS INPUT'!A911),,CONCATENATE("/*  ",'RHS INPUT'!A911,"  */"))</f>
        <v/>
      </c>
      <c r="C911" s="22" t="str">
        <f>if(isblank(A911),,if('RHS INPUT'!D911=1,Concatenate("class ",'RHS INPUT'!C911),))</f>
        <v>class rhsusf_rg33_d</v>
      </c>
      <c r="D911" s="27" t="str">
        <f>if(ISBLANK(A911),,if('RHS INPUT'!D911=1,CONCATENATE("{quality = ",'RHS INPUT'!G911,"; price = ",Round('RHS INPUT'!M911),";};"),""))</f>
        <v>{quality = 1; price = 26000;};</v>
      </c>
      <c r="E911" t="str">
        <f>IFERROR(__xludf.DUMMYFUNCTION("if(ISBLANK(A911),, if('RHS INPUT'!E911=1,CONCATENATE(CHAR(34),To_Text('RHS INPUT'!C911),CHAR(34),CHAR(44)),""""))"),"""rhsusf_rg33_d"",")</f>
        <v>"rhsusf_rg33_d",</v>
      </c>
      <c r="F911" s="28" t="str">
        <f>IF(isblank(A911) ,Concatenate("&gt; ",'RHS INPUT'!A911) , if('RHS INPUT'!F911=1,CONCATENATE(round('RHS INPUT'!N911),Char(44)," ",'RHS INPUT'!C911),""))</f>
        <v/>
      </c>
    </row>
    <row r="912" ht="12.0" customHeight="1">
      <c r="A912" s="1" t="str">
        <f>IFERROR(__xludf.DUMMYFUNCTION("if(ISBLANK('RHS INPUT'!C912),,CONCATENATE(CHAR(34),To_Text('RHS INPUT'!C912),CHAR(34),CHAR(44)))"),"""rhsusf_rg33_wd"",")</f>
        <v>"rhsusf_rg33_wd",</v>
      </c>
      <c r="B912" s="18" t="str">
        <f>if(isblank('RHS INPUT'!A912),,CONCATENATE("/*  ",'RHS INPUT'!A912,"  */"))</f>
        <v/>
      </c>
      <c r="C912" s="22" t="str">
        <f>if(isblank(A912),,if('RHS INPUT'!D912=1,Concatenate("class ",'RHS INPUT'!C912),))</f>
        <v>class rhsusf_rg33_wd</v>
      </c>
      <c r="D912" s="27" t="str">
        <f>if(ISBLANK(A912),,if('RHS INPUT'!D912=1,CONCATENATE("{quality = ",'RHS INPUT'!G912,"; price = ",Round('RHS INPUT'!M912),";};"),""))</f>
        <v>{quality = 1; price = 26000;};</v>
      </c>
      <c r="E912" t="str">
        <f>IFERROR(__xludf.DUMMYFUNCTION("if(ISBLANK(A912),, if('RHS INPUT'!E912=1,CONCATENATE(CHAR(34),To_Text('RHS INPUT'!C912),CHAR(34),CHAR(44)),""""))"),"""rhsusf_rg33_wd"",")</f>
        <v>"rhsusf_rg33_wd",</v>
      </c>
      <c r="F912" s="28" t="str">
        <f>IF(isblank(A912) ,Concatenate("&gt; ",'RHS INPUT'!A912) , if('RHS INPUT'!F912=1,CONCATENATE(round('RHS INPUT'!N912),Char(44)," ",'RHS INPUT'!C912),""))</f>
        <v/>
      </c>
    </row>
    <row r="913" ht="12.0" customHeight="1">
      <c r="A913" s="1" t="str">
        <f>IFERROR(__xludf.DUMMYFUNCTION("if(ISBLANK('RHS INPUT'!C913),,CONCATENATE(CHAR(34),To_Text('RHS INPUT'!C913),CHAR(34),CHAR(44)))"),"""rhs_pts_vmf"",")</f>
        <v>"rhs_pts_vmf",</v>
      </c>
      <c r="B913" s="18" t="str">
        <f>if(isblank('RHS INPUT'!A913),,CONCATENATE("/*  ",'RHS INPUT'!A913,"  */"))</f>
        <v/>
      </c>
      <c r="C913" s="22" t="str">
        <f>if(isblank(A913),,if('RHS INPUT'!D913=1,Concatenate("class ",'RHS INPUT'!C913),))</f>
        <v>class rhs_pts_vmf</v>
      </c>
      <c r="D913" s="27" t="str">
        <f>if(ISBLANK(A913),,if('RHS INPUT'!D913=1,CONCATENATE("{quality = ",'RHS INPUT'!G913,"; price = ",Round('RHS INPUT'!M913),";};"),""))</f>
        <v>{quality = 1; price = 35000;};</v>
      </c>
      <c r="E913" t="str">
        <f>IFERROR(__xludf.DUMMYFUNCTION("if(ISBLANK(A913),, if('RHS INPUT'!E913=1,CONCATENATE(CHAR(34),To_Text('RHS INPUT'!C913),CHAR(34),CHAR(44)),""""))"),"""rhs_pts_vmf"",")</f>
        <v>"rhs_pts_vmf",</v>
      </c>
      <c r="F913" s="28" t="str">
        <f>IF(isblank(A913) ,Concatenate("&gt; ",'RHS INPUT'!A913) , if('RHS INPUT'!F913=1,CONCATENATE(round('RHS INPUT'!N913),Char(44)," ",'RHS INPUT'!C913),""))</f>
        <v/>
      </c>
    </row>
    <row r="914" ht="12.0" customHeight="1">
      <c r="A914" s="1" t="str">
        <f>IFERROR(__xludf.DUMMYFUNCTION("if(ISBLANK('RHS INPUT'!C914),,CONCATENATE(CHAR(34),To_Text('RHS INPUT'!C914),CHAR(34),CHAR(44)))"),"""rhsusf_M1078A1P2_d_fmtv_usarmy"",")</f>
        <v>"rhsusf_M1078A1P2_d_fmtv_usarmy",</v>
      </c>
      <c r="B914" s="18" t="str">
        <f>if(isblank('RHS INPUT'!A914),,CONCATENATE("/*  ",'RHS INPUT'!A914,"  */"))</f>
        <v/>
      </c>
      <c r="C914" s="22" t="str">
        <f>if(isblank(A914),,if('RHS INPUT'!D914=1,Concatenate("class ",'RHS INPUT'!C914),))</f>
        <v>class rhsusf_M1078A1P2_d_fmtv_usarmy</v>
      </c>
      <c r="D914" s="27" t="str">
        <f>if(ISBLANK(A914),,if('RHS INPUT'!D914=1,CONCATENATE("{quality = ",'RHS INPUT'!G914,"; price = ",Round('RHS INPUT'!M914),";};"),""))</f>
        <v>{quality = 1; price = 35000;};</v>
      </c>
      <c r="E914" t="str">
        <f>IFERROR(__xludf.DUMMYFUNCTION("if(ISBLANK(A914),, if('RHS INPUT'!E914=1,CONCATENATE(CHAR(34),To_Text('RHS INPUT'!C914),CHAR(34),CHAR(44)),""""))"),"""rhsusf_M1078A1P2_d_fmtv_usarmy"",")</f>
        <v>"rhsusf_M1078A1P2_d_fmtv_usarmy",</v>
      </c>
      <c r="F914" s="28" t="str">
        <f>IF(isblank(A914) ,Concatenate("&gt; ",'RHS INPUT'!A914) , if('RHS INPUT'!F914=1,CONCATENATE(round('RHS INPUT'!N914),Char(44)," ",'RHS INPUT'!C914),""))</f>
        <v/>
      </c>
    </row>
    <row r="915" ht="12.0" customHeight="1">
      <c r="A915" s="1" t="str">
        <f>IFERROR(__xludf.DUMMYFUNCTION("if(ISBLANK('RHS INPUT'!C915),,CONCATENATE(CHAR(34),To_Text('RHS INPUT'!C915),CHAR(34),CHAR(44)))"),"""rhsusf_M1078A1P2_wd_fmtv_usarmy"",")</f>
        <v>"rhsusf_M1078A1P2_wd_fmtv_usarmy",</v>
      </c>
      <c r="B915" s="18" t="str">
        <f>if(isblank('RHS INPUT'!A915),,CONCATENATE("/*  ",'RHS INPUT'!A915,"  */"))</f>
        <v/>
      </c>
      <c r="C915" s="22" t="str">
        <f>if(isblank(A915),,if('RHS INPUT'!D915=1,Concatenate("class ",'RHS INPUT'!C915),))</f>
        <v>class rhsusf_M1078A1P2_wd_fmtv_usarmy</v>
      </c>
      <c r="D915" s="27" t="str">
        <f>if(ISBLANK(A915),,if('RHS INPUT'!D915=1,CONCATENATE("{quality = ",'RHS INPUT'!G915,"; price = ",Round('RHS INPUT'!M915),";};"),""))</f>
        <v>{quality = 1; price = 35000;};</v>
      </c>
      <c r="E915" t="str">
        <f>IFERROR(__xludf.DUMMYFUNCTION("if(ISBLANK(A915),, if('RHS INPUT'!E915=1,CONCATENATE(CHAR(34),To_Text('RHS INPUT'!C915),CHAR(34),CHAR(44)),""""))"),"""rhsusf_M1078A1P2_wd_fmtv_usarmy"",")</f>
        <v>"rhsusf_M1078A1P2_wd_fmtv_usarmy",</v>
      </c>
      <c r="F915" s="28" t="str">
        <f>IF(isblank(A915) ,Concatenate("&gt; ",'RHS INPUT'!A915) , if('RHS INPUT'!F915=1,CONCATENATE(round('RHS INPUT'!N915),Char(44)," ",'RHS INPUT'!C915),""))</f>
        <v/>
      </c>
    </row>
    <row r="916" ht="12.0" customHeight="1">
      <c r="A916" s="1" t="str">
        <f>IFERROR(__xludf.DUMMYFUNCTION("if(ISBLANK('RHS INPUT'!C916),,CONCATENATE(CHAR(34),To_Text('RHS INPUT'!C916),CHAR(34),CHAR(44)))"),"""rhsusf_M1078A1P2_d_flatbed_fmtv_usarmy"",")</f>
        <v>"rhsusf_M1078A1P2_d_flatbed_fmtv_usarmy",</v>
      </c>
      <c r="B916" s="18" t="str">
        <f>if(isblank('RHS INPUT'!A916),,CONCATENATE("/*  ",'RHS INPUT'!A916,"  */"))</f>
        <v/>
      </c>
      <c r="C916" s="22" t="str">
        <f>if(isblank(A916),,if('RHS INPUT'!D916=1,Concatenate("class ",'RHS INPUT'!C916),))</f>
        <v>class rhsusf_M1078A1P2_d_flatbed_fmtv_usarmy</v>
      </c>
      <c r="D916" s="27" t="str">
        <f>if(ISBLANK(A916),,if('RHS INPUT'!D916=1,CONCATENATE("{quality = ",'RHS INPUT'!G916,"; price = ",Round('RHS INPUT'!M916),";};"),""))</f>
        <v>{quality = 1; price = 35000;};</v>
      </c>
      <c r="E916" t="str">
        <f>IFERROR(__xludf.DUMMYFUNCTION("if(ISBLANK(A916),, if('RHS INPUT'!E916=1,CONCATENATE(CHAR(34),To_Text('RHS INPUT'!C916),CHAR(34),CHAR(44)),""""))"),"""rhsusf_M1078A1P2_d_flatbed_fmtv_usarmy"",")</f>
        <v>"rhsusf_M1078A1P2_d_flatbed_fmtv_usarmy",</v>
      </c>
      <c r="F916" s="28" t="str">
        <f>IF(isblank(A916) ,Concatenate("&gt; ",'RHS INPUT'!A916) , if('RHS INPUT'!F916=1,CONCATENATE(round('RHS INPUT'!N916),Char(44)," ",'RHS INPUT'!C916),""))</f>
        <v/>
      </c>
    </row>
    <row r="917" ht="12.0" customHeight="1">
      <c r="A917" s="1" t="str">
        <f>IFERROR(__xludf.DUMMYFUNCTION("if(ISBLANK('RHS INPUT'!C917),,CONCATENATE(CHAR(34),To_Text('RHS INPUT'!C917),CHAR(34),CHAR(44)))"),"""rhsusf_M1078A1P2_wd_flatbed_fmtv_usarmy"",")</f>
        <v>"rhsusf_M1078A1P2_wd_flatbed_fmtv_usarmy",</v>
      </c>
      <c r="B917" s="18" t="str">
        <f>if(isblank('RHS INPUT'!A917),,CONCATENATE("/*  ",'RHS INPUT'!A917,"  */"))</f>
        <v/>
      </c>
      <c r="C917" s="22" t="str">
        <f>if(isblank(A917),,if('RHS INPUT'!D917=1,Concatenate("class ",'RHS INPUT'!C917),))</f>
        <v>class rhsusf_M1078A1P2_wd_flatbed_fmtv_usarmy</v>
      </c>
      <c r="D917" s="27" t="str">
        <f>if(ISBLANK(A917),,if('RHS INPUT'!D917=1,CONCATENATE("{quality = ",'RHS INPUT'!G917,"; price = ",Round('RHS INPUT'!M917),";};"),""))</f>
        <v>{quality = 1; price = 35000;};</v>
      </c>
      <c r="E917" t="str">
        <f>IFERROR(__xludf.DUMMYFUNCTION("if(ISBLANK(A917),, if('RHS INPUT'!E917=1,CONCATENATE(CHAR(34),To_Text('RHS INPUT'!C917),CHAR(34),CHAR(44)),""""))"),"""rhsusf_M1078A1P2_wd_flatbed_fmtv_usarmy"",")</f>
        <v>"rhsusf_M1078A1P2_wd_flatbed_fmtv_usarmy",</v>
      </c>
      <c r="F917" s="28" t="str">
        <f>IF(isblank(A917) ,Concatenate("&gt; ",'RHS INPUT'!A917) , if('RHS INPUT'!F917=1,CONCATENATE(round('RHS INPUT'!N917),Char(44)," ",'RHS INPUT'!C917),""))</f>
        <v/>
      </c>
    </row>
    <row r="918" ht="12.0" customHeight="1">
      <c r="A918" s="1" t="str">
        <f>IFERROR(__xludf.DUMMYFUNCTION("if(ISBLANK('RHS INPUT'!C918),,CONCATENATE(CHAR(34),To_Text('RHS INPUT'!C918),CHAR(34),CHAR(44)))"),"""rhsusf_M1078A1P2_d_open_fmtv_usarmy"",")</f>
        <v>"rhsusf_M1078A1P2_d_open_fmtv_usarmy",</v>
      </c>
      <c r="B918" s="18" t="str">
        <f>if(isblank('RHS INPUT'!A918),,CONCATENATE("/*  ",'RHS INPUT'!A918,"  */"))</f>
        <v/>
      </c>
      <c r="C918" s="22" t="str">
        <f>if(isblank(A918),,if('RHS INPUT'!D918=1,Concatenate("class ",'RHS INPUT'!C918),))</f>
        <v>class rhsusf_M1078A1P2_d_open_fmtv_usarmy</v>
      </c>
      <c r="D918" s="27" t="str">
        <f>if(ISBLANK(A918),,if('RHS INPUT'!D918=1,CONCATENATE("{quality = ",'RHS INPUT'!G918,"; price = ",Round('RHS INPUT'!M918),";};"),""))</f>
        <v>{quality = 1; price = 35000;};</v>
      </c>
      <c r="E918" t="str">
        <f>IFERROR(__xludf.DUMMYFUNCTION("if(ISBLANK(A918),, if('RHS INPUT'!E918=1,CONCATENATE(CHAR(34),To_Text('RHS INPUT'!C918),CHAR(34),CHAR(44)),""""))"),"""rhsusf_M1078A1P2_d_open_fmtv_usarmy"",")</f>
        <v>"rhsusf_M1078A1P2_d_open_fmtv_usarmy",</v>
      </c>
      <c r="F918" s="28" t="str">
        <f>IF(isblank(A918) ,Concatenate("&gt; ",'RHS INPUT'!A918) , if('RHS INPUT'!F918=1,CONCATENATE(round('RHS INPUT'!N918),Char(44)," ",'RHS INPUT'!C918),""))</f>
        <v/>
      </c>
    </row>
    <row r="919" ht="12.0" customHeight="1">
      <c r="A919" s="1" t="str">
        <f>IFERROR(__xludf.DUMMYFUNCTION("if(ISBLANK('RHS INPUT'!C919),,CONCATENATE(CHAR(34),To_Text('RHS INPUT'!C919),CHAR(34),CHAR(44)))"),"""rhsusf_M1078A1P2_wd_open_fmtv_usarmy"",")</f>
        <v>"rhsusf_M1078A1P2_wd_open_fmtv_usarmy",</v>
      </c>
      <c r="B919" s="18" t="str">
        <f>if(isblank('RHS INPUT'!A919),,CONCATENATE("/*  ",'RHS INPUT'!A919,"  */"))</f>
        <v/>
      </c>
      <c r="C919" s="22" t="str">
        <f>if(isblank(A919),,if('RHS INPUT'!D919=1,Concatenate("class ",'RHS INPUT'!C919),))</f>
        <v>class rhsusf_M1078A1P2_wd_open_fmtv_usarmy</v>
      </c>
      <c r="D919" s="27" t="str">
        <f>if(ISBLANK(A919),,if('RHS INPUT'!D919=1,CONCATENATE("{quality = ",'RHS INPUT'!G919,"; price = ",Round('RHS INPUT'!M919),";};"),""))</f>
        <v>{quality = 1; price = 35000;};</v>
      </c>
      <c r="E919" t="str">
        <f>IFERROR(__xludf.DUMMYFUNCTION("if(ISBLANK(A919),, if('RHS INPUT'!E919=1,CONCATENATE(CHAR(34),To_Text('RHS INPUT'!C919),CHAR(34),CHAR(44)),""""))"),"""rhsusf_M1078A1P2_wd_open_fmtv_usarmy"",")</f>
        <v>"rhsusf_M1078A1P2_wd_open_fmtv_usarmy",</v>
      </c>
      <c r="F919" s="28" t="str">
        <f>IF(isblank(A919) ,Concatenate("&gt; ",'RHS INPUT'!A919) , if('RHS INPUT'!F919=1,CONCATENATE(round('RHS INPUT'!N919),Char(44)," ",'RHS INPUT'!C919),""))</f>
        <v/>
      </c>
    </row>
    <row r="920" ht="12.0" customHeight="1">
      <c r="A920" s="1" t="str">
        <f>IFERROR(__xludf.DUMMYFUNCTION("if(ISBLANK('RHS INPUT'!C920),,CONCATENATE(CHAR(34),To_Text('RHS INPUT'!C920),CHAR(34),CHAR(44)))"),"""rhsusf_M1078A1P2_B_d_fmtv_usarmy"",")</f>
        <v>"rhsusf_M1078A1P2_B_d_fmtv_usarmy",</v>
      </c>
      <c r="B920" s="18" t="str">
        <f>if(isblank('RHS INPUT'!A920),,CONCATENATE("/*  ",'RHS INPUT'!A920,"  */"))</f>
        <v/>
      </c>
      <c r="C920" s="22" t="str">
        <f>if(isblank(A920),,if('RHS INPUT'!D920=1,Concatenate("class ",'RHS INPUT'!C920),))</f>
        <v>class rhsusf_M1078A1P2_B_d_fmtv_usarmy</v>
      </c>
      <c r="D920" s="27" t="str">
        <f>if(ISBLANK(A920),,if('RHS INPUT'!D920=1,CONCATENATE("{quality = ",'RHS INPUT'!G920,"; price = ",Round('RHS INPUT'!M920),";};"),""))</f>
        <v>{quality = 1; price = 35000;};</v>
      </c>
      <c r="E920" t="str">
        <f>IFERROR(__xludf.DUMMYFUNCTION("if(ISBLANK(A920),, if('RHS INPUT'!E920=1,CONCATENATE(CHAR(34),To_Text('RHS INPUT'!C920),CHAR(34),CHAR(44)),""""))"),"""rhsusf_M1078A1P2_B_d_fmtv_usarmy"",")</f>
        <v>"rhsusf_M1078A1P2_B_d_fmtv_usarmy",</v>
      </c>
      <c r="F920" s="28" t="str">
        <f>IF(isblank(A920) ,Concatenate("&gt; ",'RHS INPUT'!A920) , if('RHS INPUT'!F920=1,CONCATENATE(round('RHS INPUT'!N920),Char(44)," ",'RHS INPUT'!C920),""))</f>
        <v/>
      </c>
    </row>
    <row r="921" ht="12.0" customHeight="1">
      <c r="A921" s="1" t="str">
        <f>IFERROR(__xludf.DUMMYFUNCTION("if(ISBLANK('RHS INPUT'!C921),,CONCATENATE(CHAR(34),To_Text('RHS INPUT'!C921),CHAR(34),CHAR(44)))"),"""rhsusf_M1078A1P2_B_wd_fmtv_usarmy"",")</f>
        <v>"rhsusf_M1078A1P2_B_wd_fmtv_usarmy",</v>
      </c>
      <c r="B921" s="18" t="str">
        <f>if(isblank('RHS INPUT'!A921),,CONCATENATE("/*  ",'RHS INPUT'!A921,"  */"))</f>
        <v/>
      </c>
      <c r="C921" s="22" t="str">
        <f>if(isblank(A921),,if('RHS INPUT'!D921=1,Concatenate("class ",'RHS INPUT'!C921),))</f>
        <v>class rhsusf_M1078A1P2_B_wd_fmtv_usarmy</v>
      </c>
      <c r="D921" s="27" t="str">
        <f>if(ISBLANK(A921),,if('RHS INPUT'!D921=1,CONCATENATE("{quality = ",'RHS INPUT'!G921,"; price = ",Round('RHS INPUT'!M921),";};"),""))</f>
        <v>{quality = 1; price = 35000;};</v>
      </c>
      <c r="E921" t="str">
        <f>IFERROR(__xludf.DUMMYFUNCTION("if(ISBLANK(A921),, if('RHS INPUT'!E921=1,CONCATENATE(CHAR(34),To_Text('RHS INPUT'!C921),CHAR(34),CHAR(44)),""""))"),"""rhsusf_M1078A1P2_B_wd_fmtv_usarmy"",")</f>
        <v>"rhsusf_M1078A1P2_B_wd_fmtv_usarmy",</v>
      </c>
      <c r="F921" s="28" t="str">
        <f>IF(isblank(A921) ,Concatenate("&gt; ",'RHS INPUT'!A921) , if('RHS INPUT'!F921=1,CONCATENATE(round('RHS INPUT'!N921),Char(44)," ",'RHS INPUT'!C921),""))</f>
        <v/>
      </c>
    </row>
    <row r="922" ht="12.0" customHeight="1">
      <c r="A922" s="1" t="str">
        <f>IFERROR(__xludf.DUMMYFUNCTION("if(ISBLANK('RHS INPUT'!C922),,CONCATENATE(CHAR(34),To_Text('RHS INPUT'!C922),CHAR(34),CHAR(44)))"),"""rhsusf_M1078A1P2_B_d_flatbed_fmtv_usarmy"",")</f>
        <v>"rhsusf_M1078A1P2_B_d_flatbed_fmtv_usarmy",</v>
      </c>
      <c r="B922" s="18" t="str">
        <f>if(isblank('RHS INPUT'!A922),,CONCATENATE("/*  ",'RHS INPUT'!A922,"  */"))</f>
        <v/>
      </c>
      <c r="C922" s="22" t="str">
        <f>if(isblank(A922),,if('RHS INPUT'!D922=1,Concatenate("class ",'RHS INPUT'!C922),))</f>
        <v>class rhsusf_M1078A1P2_B_d_flatbed_fmtv_usarmy</v>
      </c>
      <c r="D922" s="27" t="str">
        <f>if(ISBLANK(A922),,if('RHS INPUT'!D922=1,CONCATENATE("{quality = ",'RHS INPUT'!G922,"; price = ",Round('RHS INPUT'!M922),";};"),""))</f>
        <v>{quality = 1; price = 35000;};</v>
      </c>
      <c r="E922" t="str">
        <f>IFERROR(__xludf.DUMMYFUNCTION("if(ISBLANK(A922),, if('RHS INPUT'!E922=1,CONCATENATE(CHAR(34),To_Text('RHS INPUT'!C922),CHAR(34),CHAR(44)),""""))"),"""rhsusf_M1078A1P2_B_d_flatbed_fmtv_usarmy"",")</f>
        <v>"rhsusf_M1078A1P2_B_d_flatbed_fmtv_usarmy",</v>
      </c>
      <c r="F922" s="28" t="str">
        <f>IF(isblank(A922) ,Concatenate("&gt; ",'RHS INPUT'!A922) , if('RHS INPUT'!F922=1,CONCATENATE(round('RHS INPUT'!N922),Char(44)," ",'RHS INPUT'!C922),""))</f>
        <v/>
      </c>
    </row>
    <row r="923" ht="12.0" customHeight="1">
      <c r="A923" s="1" t="str">
        <f>IFERROR(__xludf.DUMMYFUNCTION("if(ISBLANK('RHS INPUT'!C923),,CONCATENATE(CHAR(34),To_Text('RHS INPUT'!C923),CHAR(34),CHAR(44)))"),"""rhsusf_M1078A1P2_B_wd_flatbed_fmtv_usarmy"",")</f>
        <v>"rhsusf_M1078A1P2_B_wd_flatbed_fmtv_usarmy",</v>
      </c>
      <c r="B923" s="18" t="str">
        <f>if(isblank('RHS INPUT'!A923),,CONCATENATE("/*  ",'RHS INPUT'!A923,"  */"))</f>
        <v/>
      </c>
      <c r="C923" s="22" t="str">
        <f>if(isblank(A923),,if('RHS INPUT'!D923=1,Concatenate("class ",'RHS INPUT'!C923),))</f>
        <v>class rhsusf_M1078A1P2_B_wd_flatbed_fmtv_usarmy</v>
      </c>
      <c r="D923" s="27" t="str">
        <f>if(ISBLANK(A923),,if('RHS INPUT'!D923=1,CONCATENATE("{quality = ",'RHS INPUT'!G923,"; price = ",Round('RHS INPUT'!M923),";};"),""))</f>
        <v>{quality = 1; price = 35000;};</v>
      </c>
      <c r="E923" t="str">
        <f>IFERROR(__xludf.DUMMYFUNCTION("if(ISBLANK(A923),, if('RHS INPUT'!E923=1,CONCATENATE(CHAR(34),To_Text('RHS INPUT'!C923),CHAR(34),CHAR(44)),""""))"),"""rhsusf_M1078A1P2_B_wd_flatbed_fmtv_usarmy"",")</f>
        <v>"rhsusf_M1078A1P2_B_wd_flatbed_fmtv_usarmy",</v>
      </c>
      <c r="F923" s="28" t="str">
        <f>IF(isblank(A923) ,Concatenate("&gt; ",'RHS INPUT'!A923) , if('RHS INPUT'!F923=1,CONCATENATE(round('RHS INPUT'!N923),Char(44)," ",'RHS INPUT'!C923),""))</f>
        <v/>
      </c>
    </row>
    <row r="924" ht="12.0" customHeight="1">
      <c r="A924" s="1" t="str">
        <f>IFERROR(__xludf.DUMMYFUNCTION("if(ISBLANK('RHS INPUT'!C924),,CONCATENATE(CHAR(34),To_Text('RHS INPUT'!C924),CHAR(34),CHAR(44)))"),"""rhsusf_M1078A1P2_B_d_open_fmtv_usarmy"",")</f>
        <v>"rhsusf_M1078A1P2_B_d_open_fmtv_usarmy",</v>
      </c>
      <c r="B924" s="18" t="str">
        <f>if(isblank('RHS INPUT'!A924),,CONCATENATE("/*  ",'RHS INPUT'!A924,"  */"))</f>
        <v/>
      </c>
      <c r="C924" s="22" t="str">
        <f>if(isblank(A924),,if('RHS INPUT'!D924=1,Concatenate("class ",'RHS INPUT'!C924),))</f>
        <v>class rhsusf_M1078A1P2_B_d_open_fmtv_usarmy</v>
      </c>
      <c r="D924" s="27" t="str">
        <f>if(ISBLANK(A924),,if('RHS INPUT'!D924=1,CONCATENATE("{quality = ",'RHS INPUT'!G924,"; price = ",Round('RHS INPUT'!M924),";};"),""))</f>
        <v>{quality = 1; price = 35000;};</v>
      </c>
      <c r="E924" t="str">
        <f>IFERROR(__xludf.DUMMYFUNCTION("if(ISBLANK(A924),, if('RHS INPUT'!E924=1,CONCATENATE(CHAR(34),To_Text('RHS INPUT'!C924),CHAR(34),CHAR(44)),""""))"),"""rhsusf_M1078A1P2_B_d_open_fmtv_usarmy"",")</f>
        <v>"rhsusf_M1078A1P2_B_d_open_fmtv_usarmy",</v>
      </c>
      <c r="F924" s="28" t="str">
        <f>IF(isblank(A924) ,Concatenate("&gt; ",'RHS INPUT'!A924) , if('RHS INPUT'!F924=1,CONCATENATE(round('RHS INPUT'!N924),Char(44)," ",'RHS INPUT'!C924),""))</f>
        <v/>
      </c>
    </row>
    <row r="925" ht="12.0" customHeight="1">
      <c r="A925" s="1" t="str">
        <f>IFERROR(__xludf.DUMMYFUNCTION("if(ISBLANK('RHS INPUT'!C925),,CONCATENATE(CHAR(34),To_Text('RHS INPUT'!C925),CHAR(34),CHAR(44)))"),"""rhsusf_M1078A1P2_B_wd_open_fmtv_usarmy"",")</f>
        <v>"rhsusf_M1078A1P2_B_wd_open_fmtv_usarmy",</v>
      </c>
      <c r="B925" s="18" t="str">
        <f>if(isblank('RHS INPUT'!A925),,CONCATENATE("/*  ",'RHS INPUT'!A925,"  */"))</f>
        <v/>
      </c>
      <c r="C925" s="22" t="str">
        <f>if(isblank(A925),,if('RHS INPUT'!D925=1,Concatenate("class ",'RHS INPUT'!C925),))</f>
        <v>class rhsusf_M1078A1P2_B_wd_open_fmtv_usarmy</v>
      </c>
      <c r="D925" s="27" t="str">
        <f>if(ISBLANK(A925),,if('RHS INPUT'!D925=1,CONCATENATE("{quality = ",'RHS INPUT'!G925,"; price = ",Round('RHS INPUT'!M925),";};"),""))</f>
        <v>{quality = 1; price = 35000;};</v>
      </c>
      <c r="E925" t="str">
        <f>IFERROR(__xludf.DUMMYFUNCTION("if(ISBLANK(A925),, if('RHS INPUT'!E925=1,CONCATENATE(CHAR(34),To_Text('RHS INPUT'!C925),CHAR(34),CHAR(44)),""""))"),"""rhsusf_M1078A1P2_B_wd_open_fmtv_usarmy"",")</f>
        <v>"rhsusf_M1078A1P2_B_wd_open_fmtv_usarmy",</v>
      </c>
      <c r="F925" s="28" t="str">
        <f>IF(isblank(A925) ,Concatenate("&gt; ",'RHS INPUT'!A925) , if('RHS INPUT'!F925=1,CONCATENATE(round('RHS INPUT'!N925),Char(44)," ",'RHS INPUT'!C925),""))</f>
        <v/>
      </c>
    </row>
    <row r="926" ht="12.0" customHeight="1">
      <c r="A926" s="1" t="str">
        <f>IFERROR(__xludf.DUMMYFUNCTION("if(ISBLANK('RHS INPUT'!C926),,CONCATENATE(CHAR(34),To_Text('RHS INPUT'!C926),CHAR(34),CHAR(44)))"),"""rhsusf_M1083A1P2_d_fmtv_usarmy"",")</f>
        <v>"rhsusf_M1083A1P2_d_fmtv_usarmy",</v>
      </c>
      <c r="B926" s="18" t="str">
        <f>if(isblank('RHS INPUT'!A926),,CONCATENATE("/*  ",'RHS INPUT'!A926,"  */"))</f>
        <v/>
      </c>
      <c r="C926" s="22" t="str">
        <f>if(isblank(A926),,if('RHS INPUT'!D926=1,Concatenate("class ",'RHS INPUT'!C926),))</f>
        <v>class rhsusf_M1083A1P2_d_fmtv_usarmy</v>
      </c>
      <c r="D926" s="27" t="str">
        <f>if(ISBLANK(A926),,if('RHS INPUT'!D926=1,CONCATENATE("{quality = ",'RHS INPUT'!G926,"; price = ",Round('RHS INPUT'!M926),";};"),""))</f>
        <v>{quality = 1; price = 35000;};</v>
      </c>
      <c r="E926" t="str">
        <f>IFERROR(__xludf.DUMMYFUNCTION("if(ISBLANK(A926),, if('RHS INPUT'!E926=1,CONCATENATE(CHAR(34),To_Text('RHS INPUT'!C926),CHAR(34),CHAR(44)),""""))"),"""rhsusf_M1083A1P2_d_fmtv_usarmy"",")</f>
        <v>"rhsusf_M1083A1P2_d_fmtv_usarmy",</v>
      </c>
      <c r="F926" s="28" t="str">
        <f>IF(isblank(A926) ,Concatenate("&gt; ",'RHS INPUT'!A926) , if('RHS INPUT'!F926=1,CONCATENATE(round('RHS INPUT'!N926),Char(44)," ",'RHS INPUT'!C926),""))</f>
        <v/>
      </c>
    </row>
    <row r="927" ht="12.0" customHeight="1">
      <c r="A927" s="1" t="str">
        <f>IFERROR(__xludf.DUMMYFUNCTION("if(ISBLANK('RHS INPUT'!C927),,CONCATENATE(CHAR(34),To_Text('RHS INPUT'!C927),CHAR(34),CHAR(44)))"),"""rhsusf_M1083A1P2_wd_fmtv_usarmy"",")</f>
        <v>"rhsusf_M1083A1P2_wd_fmtv_usarmy",</v>
      </c>
      <c r="B927" s="18" t="str">
        <f>if(isblank('RHS INPUT'!A927),,CONCATENATE("/*  ",'RHS INPUT'!A927,"  */"))</f>
        <v/>
      </c>
      <c r="C927" s="22" t="str">
        <f>if(isblank(A927),,if('RHS INPUT'!D927=1,Concatenate("class ",'RHS INPUT'!C927),))</f>
        <v>class rhsusf_M1083A1P2_wd_fmtv_usarmy</v>
      </c>
      <c r="D927" s="27" t="str">
        <f>if(ISBLANK(A927),,if('RHS INPUT'!D927=1,CONCATENATE("{quality = ",'RHS INPUT'!G927,"; price = ",Round('RHS INPUT'!M927),";};"),""))</f>
        <v>{quality = 1; price = 35000;};</v>
      </c>
      <c r="E927" t="str">
        <f>IFERROR(__xludf.DUMMYFUNCTION("if(ISBLANK(A927),, if('RHS INPUT'!E927=1,CONCATENATE(CHAR(34),To_Text('RHS INPUT'!C927),CHAR(34),CHAR(44)),""""))"),"""rhsusf_M1083A1P2_wd_fmtv_usarmy"",")</f>
        <v>"rhsusf_M1083A1P2_wd_fmtv_usarmy",</v>
      </c>
      <c r="F927" s="28" t="str">
        <f>IF(isblank(A927) ,Concatenate("&gt; ",'RHS INPUT'!A927) , if('RHS INPUT'!F927=1,CONCATENATE(round('RHS INPUT'!N927),Char(44)," ",'RHS INPUT'!C927),""))</f>
        <v/>
      </c>
    </row>
    <row r="928" ht="12.0" customHeight="1">
      <c r="A928" s="1" t="str">
        <f>IFERROR(__xludf.DUMMYFUNCTION("if(ISBLANK('RHS INPUT'!C928),,CONCATENATE(CHAR(34),To_Text('RHS INPUT'!C928),CHAR(34),CHAR(44)))"),"""rhsusf_M1083A1P2_d_flatbed_fmtv_usarmy"",")</f>
        <v>"rhsusf_M1083A1P2_d_flatbed_fmtv_usarmy",</v>
      </c>
      <c r="B928" s="18" t="str">
        <f>if(isblank('RHS INPUT'!A928),,CONCATENATE("/*  ",'RHS INPUT'!A928,"  */"))</f>
        <v/>
      </c>
      <c r="C928" s="22" t="str">
        <f>if(isblank(A928),,if('RHS INPUT'!D928=1,Concatenate("class ",'RHS INPUT'!C928),))</f>
        <v>class rhsusf_M1083A1P2_d_flatbed_fmtv_usarmy</v>
      </c>
      <c r="D928" s="27" t="str">
        <f>if(ISBLANK(A928),,if('RHS INPUT'!D928=1,CONCATENATE("{quality = ",'RHS INPUT'!G928,"; price = ",Round('RHS INPUT'!M928),";};"),""))</f>
        <v>{quality = 1; price = 35000;};</v>
      </c>
      <c r="E928" t="str">
        <f>IFERROR(__xludf.DUMMYFUNCTION("if(ISBLANK(A928),, if('RHS INPUT'!E928=1,CONCATENATE(CHAR(34),To_Text('RHS INPUT'!C928),CHAR(34),CHAR(44)),""""))"),"""rhsusf_M1083A1P2_d_flatbed_fmtv_usarmy"",")</f>
        <v>"rhsusf_M1083A1P2_d_flatbed_fmtv_usarmy",</v>
      </c>
      <c r="F928" s="28" t="str">
        <f>IF(isblank(A928) ,Concatenate("&gt; ",'RHS INPUT'!A928) , if('RHS INPUT'!F928=1,CONCATENATE(round('RHS INPUT'!N928),Char(44)," ",'RHS INPUT'!C928),""))</f>
        <v/>
      </c>
    </row>
    <row r="929" ht="12.0" customHeight="1">
      <c r="A929" s="1" t="str">
        <f>IFERROR(__xludf.DUMMYFUNCTION("if(ISBLANK('RHS INPUT'!C929),,CONCATENATE(CHAR(34),To_Text('RHS INPUT'!C929),CHAR(34),CHAR(44)))"),"""rhsusf_M1083A1P2_wd_flatbed_fmtv_usarmy"",")</f>
        <v>"rhsusf_M1083A1P2_wd_flatbed_fmtv_usarmy",</v>
      </c>
      <c r="B929" s="18" t="str">
        <f>if(isblank('RHS INPUT'!A929),,CONCATENATE("/*  ",'RHS INPUT'!A929,"  */"))</f>
        <v/>
      </c>
      <c r="C929" s="22" t="str">
        <f>if(isblank(A929),,if('RHS INPUT'!D929=1,Concatenate("class ",'RHS INPUT'!C929),))</f>
        <v>class rhsusf_M1083A1P2_wd_flatbed_fmtv_usarmy</v>
      </c>
      <c r="D929" s="27" t="str">
        <f>if(ISBLANK(A929),,if('RHS INPUT'!D929=1,CONCATENATE("{quality = ",'RHS INPUT'!G929,"; price = ",Round('RHS INPUT'!M929),";};"),""))</f>
        <v>{quality = 1; price = 35000;};</v>
      </c>
      <c r="E929" t="str">
        <f>IFERROR(__xludf.DUMMYFUNCTION("if(ISBLANK(A929),, if('RHS INPUT'!E929=1,CONCATENATE(CHAR(34),To_Text('RHS INPUT'!C929),CHAR(34),CHAR(44)),""""))"),"""rhsusf_M1083A1P2_wd_flatbed_fmtv_usarmy"",")</f>
        <v>"rhsusf_M1083A1P2_wd_flatbed_fmtv_usarmy",</v>
      </c>
      <c r="F929" s="28" t="str">
        <f>IF(isblank(A929) ,Concatenate("&gt; ",'RHS INPUT'!A929) , if('RHS INPUT'!F929=1,CONCATENATE(round('RHS INPUT'!N929),Char(44)," ",'RHS INPUT'!C929),""))</f>
        <v/>
      </c>
    </row>
    <row r="930" ht="12.0" customHeight="1">
      <c r="A930" s="1" t="str">
        <f>IFERROR(__xludf.DUMMYFUNCTION("if(ISBLANK('RHS INPUT'!C930),,CONCATENATE(CHAR(34),To_Text('RHS INPUT'!C930),CHAR(34),CHAR(44)))"),"""rhsusf_M1083A1P2_d_open_fmtv_usarmy"",")</f>
        <v>"rhsusf_M1083A1P2_d_open_fmtv_usarmy",</v>
      </c>
      <c r="B930" s="18" t="str">
        <f>if(isblank('RHS INPUT'!A930),,CONCATENATE("/*  ",'RHS INPUT'!A930,"  */"))</f>
        <v/>
      </c>
      <c r="C930" s="22" t="str">
        <f>if(isblank(A930),,if('RHS INPUT'!D930=1,Concatenate("class ",'RHS INPUT'!C930),))</f>
        <v>class rhsusf_M1083A1P2_d_open_fmtv_usarmy</v>
      </c>
      <c r="D930" s="27" t="str">
        <f>if(ISBLANK(A930),,if('RHS INPUT'!D930=1,CONCATENATE("{quality = ",'RHS INPUT'!G930,"; price = ",Round('RHS INPUT'!M930),";};"),""))</f>
        <v>{quality = 1; price = 35000;};</v>
      </c>
      <c r="E930" t="str">
        <f>IFERROR(__xludf.DUMMYFUNCTION("if(ISBLANK(A930),, if('RHS INPUT'!E930=1,CONCATENATE(CHAR(34),To_Text('RHS INPUT'!C930),CHAR(34),CHAR(44)),""""))"),"""rhsusf_M1083A1P2_d_open_fmtv_usarmy"",")</f>
        <v>"rhsusf_M1083A1P2_d_open_fmtv_usarmy",</v>
      </c>
      <c r="F930" s="28" t="str">
        <f>IF(isblank(A930) ,Concatenate("&gt; ",'RHS INPUT'!A930) , if('RHS INPUT'!F930=1,CONCATENATE(round('RHS INPUT'!N930),Char(44)," ",'RHS INPUT'!C930),""))</f>
        <v/>
      </c>
    </row>
    <row r="931" ht="12.0" customHeight="1">
      <c r="A931" s="1" t="str">
        <f>IFERROR(__xludf.DUMMYFUNCTION("if(ISBLANK('RHS INPUT'!C931),,CONCATENATE(CHAR(34),To_Text('RHS INPUT'!C931),CHAR(34),CHAR(44)))"),"""rhsusf_M1083A1P2_wd_open_fmtv_usarmy"",")</f>
        <v>"rhsusf_M1083A1P2_wd_open_fmtv_usarmy",</v>
      </c>
      <c r="B931" s="18" t="str">
        <f>if(isblank('RHS INPUT'!A931),,CONCATENATE("/*  ",'RHS INPUT'!A931,"  */"))</f>
        <v/>
      </c>
      <c r="C931" s="22" t="str">
        <f>if(isblank(A931),,if('RHS INPUT'!D931=1,Concatenate("class ",'RHS INPUT'!C931),))</f>
        <v>class rhsusf_M1083A1P2_wd_open_fmtv_usarmy</v>
      </c>
      <c r="D931" s="27" t="str">
        <f>if(ISBLANK(A931),,if('RHS INPUT'!D931=1,CONCATENATE("{quality = ",'RHS INPUT'!G931,"; price = ",Round('RHS INPUT'!M931),";};"),""))</f>
        <v>{quality = 1; price = 35000;};</v>
      </c>
      <c r="E931" t="str">
        <f>IFERROR(__xludf.DUMMYFUNCTION("if(ISBLANK(A931),, if('RHS INPUT'!E931=1,CONCATENATE(CHAR(34),To_Text('RHS INPUT'!C931),CHAR(34),CHAR(44)),""""))"),"""rhsusf_M1083A1P2_wd_open_fmtv_usarmy"",")</f>
        <v>"rhsusf_M1083A1P2_wd_open_fmtv_usarmy",</v>
      </c>
      <c r="F931" s="28" t="str">
        <f>IF(isblank(A931) ,Concatenate("&gt; ",'RHS INPUT'!A931) , if('RHS INPUT'!F931=1,CONCATENATE(round('RHS INPUT'!N931),Char(44)," ",'RHS INPUT'!C931),""))</f>
        <v/>
      </c>
    </row>
    <row r="932" ht="12.0" customHeight="1">
      <c r="A932" s="1" t="str">
        <f>IFERROR(__xludf.DUMMYFUNCTION("if(ISBLANK('RHS INPUT'!C932),,CONCATENATE(CHAR(34),To_Text('RHS INPUT'!C932),CHAR(34),CHAR(44)))"),"""rhsusf_M1083A1P2_B_d_fmtv_usarmy"",")</f>
        <v>"rhsusf_M1083A1P2_B_d_fmtv_usarmy",</v>
      </c>
      <c r="B932" s="18" t="str">
        <f>if(isblank('RHS INPUT'!A932),,CONCATENATE("/*  ",'RHS INPUT'!A932,"  */"))</f>
        <v/>
      </c>
      <c r="C932" s="22" t="str">
        <f>if(isblank(A932),,if('RHS INPUT'!D932=1,Concatenate("class ",'RHS INPUT'!C932),))</f>
        <v>class rhsusf_M1083A1P2_B_d_fmtv_usarmy</v>
      </c>
      <c r="D932" s="27" t="str">
        <f>if(ISBLANK(A932),,if('RHS INPUT'!D932=1,CONCATENATE("{quality = ",'RHS INPUT'!G932,"; price = ",Round('RHS INPUT'!M932),";};"),""))</f>
        <v>{quality = 1; price = 35000;};</v>
      </c>
      <c r="E932" t="str">
        <f>IFERROR(__xludf.DUMMYFUNCTION("if(ISBLANK(A932),, if('RHS INPUT'!E932=1,CONCATENATE(CHAR(34),To_Text('RHS INPUT'!C932),CHAR(34),CHAR(44)),""""))"),"""rhsusf_M1083A1P2_B_d_fmtv_usarmy"",")</f>
        <v>"rhsusf_M1083A1P2_B_d_fmtv_usarmy",</v>
      </c>
      <c r="F932" s="28" t="str">
        <f>IF(isblank(A932) ,Concatenate("&gt; ",'RHS INPUT'!A932) , if('RHS INPUT'!F932=1,CONCATENATE(round('RHS INPUT'!N932),Char(44)," ",'RHS INPUT'!C932),""))</f>
        <v/>
      </c>
    </row>
    <row r="933" ht="12.0" customHeight="1">
      <c r="A933" s="1" t="str">
        <f>IFERROR(__xludf.DUMMYFUNCTION("if(ISBLANK('RHS INPUT'!C933),,CONCATENATE(CHAR(34),To_Text('RHS INPUT'!C933),CHAR(34),CHAR(44)))"),"""rhsusf_M1083A1P2_B_wd_fmtv_usarmy"",")</f>
        <v>"rhsusf_M1083A1P2_B_wd_fmtv_usarmy",</v>
      </c>
      <c r="B933" s="18" t="str">
        <f>if(isblank('RHS INPUT'!A933),,CONCATENATE("/*  ",'RHS INPUT'!A933,"  */"))</f>
        <v/>
      </c>
      <c r="C933" s="22" t="str">
        <f>if(isblank(A933),,if('RHS INPUT'!D933=1,Concatenate("class ",'RHS INPUT'!C933),))</f>
        <v>class rhsusf_M1083A1P2_B_wd_fmtv_usarmy</v>
      </c>
      <c r="D933" s="27" t="str">
        <f>if(ISBLANK(A933),,if('RHS INPUT'!D933=1,CONCATENATE("{quality = ",'RHS INPUT'!G933,"; price = ",Round('RHS INPUT'!M933),";};"),""))</f>
        <v>{quality = 1; price = 35000;};</v>
      </c>
      <c r="E933" t="str">
        <f>IFERROR(__xludf.DUMMYFUNCTION("if(ISBLANK(A933),, if('RHS INPUT'!E933=1,CONCATENATE(CHAR(34),To_Text('RHS INPUT'!C933),CHAR(34),CHAR(44)),""""))"),"""rhsusf_M1083A1P2_B_wd_fmtv_usarmy"",")</f>
        <v>"rhsusf_M1083A1P2_B_wd_fmtv_usarmy",</v>
      </c>
      <c r="F933" s="28" t="str">
        <f>IF(isblank(A933) ,Concatenate("&gt; ",'RHS INPUT'!A933) , if('RHS INPUT'!F933=1,CONCATENATE(round('RHS INPUT'!N933),Char(44)," ",'RHS INPUT'!C933),""))</f>
        <v/>
      </c>
    </row>
    <row r="934" ht="12.0" customHeight="1">
      <c r="A934" s="1" t="str">
        <f>IFERROR(__xludf.DUMMYFUNCTION("if(ISBLANK('RHS INPUT'!C934),,CONCATENATE(CHAR(34),To_Text('RHS INPUT'!C934),CHAR(34),CHAR(44)))"),"""rhsusf_M1083A1P2_B_d_flatbed_fmtv_usarmy"",")</f>
        <v>"rhsusf_M1083A1P2_B_d_flatbed_fmtv_usarmy",</v>
      </c>
      <c r="B934" s="18" t="str">
        <f>if(isblank('RHS INPUT'!A934),,CONCATENATE("/*  ",'RHS INPUT'!A934,"  */"))</f>
        <v/>
      </c>
      <c r="C934" s="22" t="str">
        <f>if(isblank(A934),,if('RHS INPUT'!D934=1,Concatenate("class ",'RHS INPUT'!C934),))</f>
        <v>class rhsusf_M1083A1P2_B_d_flatbed_fmtv_usarmy</v>
      </c>
      <c r="D934" s="27" t="str">
        <f>if(ISBLANK(A934),,if('RHS INPUT'!D934=1,CONCATENATE("{quality = ",'RHS INPUT'!G934,"; price = ",Round('RHS INPUT'!M934),";};"),""))</f>
        <v>{quality = 1; price = 35000;};</v>
      </c>
      <c r="E934" t="str">
        <f>IFERROR(__xludf.DUMMYFUNCTION("if(ISBLANK(A934),, if('RHS INPUT'!E934=1,CONCATENATE(CHAR(34),To_Text('RHS INPUT'!C934),CHAR(34),CHAR(44)),""""))"),"""rhsusf_M1083A1P2_B_d_flatbed_fmtv_usarmy"",")</f>
        <v>"rhsusf_M1083A1P2_B_d_flatbed_fmtv_usarmy",</v>
      </c>
      <c r="F934" s="28" t="str">
        <f>IF(isblank(A934) ,Concatenate("&gt; ",'RHS INPUT'!A934) , if('RHS INPUT'!F934=1,CONCATENATE(round('RHS INPUT'!N934),Char(44)," ",'RHS INPUT'!C934),""))</f>
        <v/>
      </c>
    </row>
    <row r="935" ht="12.0" customHeight="1">
      <c r="A935" s="1" t="str">
        <f>IFERROR(__xludf.DUMMYFUNCTION("if(ISBLANK('RHS INPUT'!C935),,CONCATENATE(CHAR(34),To_Text('RHS INPUT'!C935),CHAR(34),CHAR(44)))"),"""rhsusf_M1083A1P2_B_wd_flatbed_fmtv_usarmy"",")</f>
        <v>"rhsusf_M1083A1P2_B_wd_flatbed_fmtv_usarmy",</v>
      </c>
      <c r="B935" s="18" t="str">
        <f>if(isblank('RHS INPUT'!A935),,CONCATENATE("/*  ",'RHS INPUT'!A935,"  */"))</f>
        <v/>
      </c>
      <c r="C935" s="22" t="str">
        <f>if(isblank(A935),,if('RHS INPUT'!D935=1,Concatenate("class ",'RHS INPUT'!C935),))</f>
        <v>class rhsusf_M1083A1P2_B_wd_flatbed_fmtv_usarmy</v>
      </c>
      <c r="D935" s="27" t="str">
        <f>if(ISBLANK(A935),,if('RHS INPUT'!D935=1,CONCATENATE("{quality = ",'RHS INPUT'!G935,"; price = ",Round('RHS INPUT'!M935),";};"),""))</f>
        <v>{quality = 1; price = 35000;};</v>
      </c>
      <c r="E935" t="str">
        <f>IFERROR(__xludf.DUMMYFUNCTION("if(ISBLANK(A935),, if('RHS INPUT'!E935=1,CONCATENATE(CHAR(34),To_Text('RHS INPUT'!C935),CHAR(34),CHAR(44)),""""))"),"""rhsusf_M1083A1P2_B_wd_flatbed_fmtv_usarmy"",")</f>
        <v>"rhsusf_M1083A1P2_B_wd_flatbed_fmtv_usarmy",</v>
      </c>
      <c r="F935" s="28" t="str">
        <f>IF(isblank(A935) ,Concatenate("&gt; ",'RHS INPUT'!A935) , if('RHS INPUT'!F935=1,CONCATENATE(round('RHS INPUT'!N935),Char(44)," ",'RHS INPUT'!C935),""))</f>
        <v/>
      </c>
    </row>
    <row r="936" ht="12.0" customHeight="1">
      <c r="A936" s="1" t="str">
        <f>IFERROR(__xludf.DUMMYFUNCTION("if(ISBLANK('RHS INPUT'!C936),,CONCATENATE(CHAR(34),To_Text('RHS INPUT'!C936),CHAR(34),CHAR(44)))"),"""rhsusf_M1083A1P2_B_d_open_fmtv_usarmy"",")</f>
        <v>"rhsusf_M1083A1P2_B_d_open_fmtv_usarmy",</v>
      </c>
      <c r="B936" s="18" t="str">
        <f>if(isblank('RHS INPUT'!A936),,CONCATENATE("/*  ",'RHS INPUT'!A936,"  */"))</f>
        <v/>
      </c>
      <c r="C936" s="22" t="str">
        <f>if(isblank(A936),,if('RHS INPUT'!D936=1,Concatenate("class ",'RHS INPUT'!C936),))</f>
        <v>class rhsusf_M1083A1P2_B_d_open_fmtv_usarmy</v>
      </c>
      <c r="D936" s="27" t="str">
        <f>if(ISBLANK(A936),,if('RHS INPUT'!D936=1,CONCATENATE("{quality = ",'RHS INPUT'!G936,"; price = ",Round('RHS INPUT'!M936),";};"),""))</f>
        <v>{quality = 1; price = 35000;};</v>
      </c>
      <c r="E936" t="str">
        <f>IFERROR(__xludf.DUMMYFUNCTION("if(ISBLANK(A936),, if('RHS INPUT'!E936=1,CONCATENATE(CHAR(34),To_Text('RHS INPUT'!C936),CHAR(34),CHAR(44)),""""))"),"""rhsusf_M1083A1P2_B_d_open_fmtv_usarmy"",")</f>
        <v>"rhsusf_M1083A1P2_B_d_open_fmtv_usarmy",</v>
      </c>
      <c r="F936" s="28" t="str">
        <f>IF(isblank(A936) ,Concatenate("&gt; ",'RHS INPUT'!A936) , if('RHS INPUT'!F936=1,CONCATENATE(round('RHS INPUT'!N936),Char(44)," ",'RHS INPUT'!C936),""))</f>
        <v/>
      </c>
    </row>
    <row r="937" ht="12.0" customHeight="1">
      <c r="A937" s="1" t="str">
        <f>IFERROR(__xludf.DUMMYFUNCTION("if(ISBLANK('RHS INPUT'!C937),,CONCATENATE(CHAR(34),To_Text('RHS INPUT'!C937),CHAR(34),CHAR(44)))"),"""rhsusf_M1083A1P2_B_wd_open_fmtv_usarmy"",")</f>
        <v>"rhsusf_M1083A1P2_B_wd_open_fmtv_usarmy",</v>
      </c>
      <c r="B937" s="18" t="str">
        <f>if(isblank('RHS INPUT'!A937),,CONCATENATE("/*  ",'RHS INPUT'!A937,"  */"))</f>
        <v/>
      </c>
      <c r="C937" s="22" t="str">
        <f>if(isblank(A937),,if('RHS INPUT'!D937=1,Concatenate("class ",'RHS INPUT'!C937),))</f>
        <v>class rhsusf_M1083A1P2_B_wd_open_fmtv_usarmy</v>
      </c>
      <c r="D937" s="27" t="str">
        <f>if(ISBLANK(A937),,if('RHS INPUT'!D937=1,CONCATENATE("{quality = ",'RHS INPUT'!G937,"; price = ",Round('RHS INPUT'!M937),";};"),""))</f>
        <v>{quality = 1; price = 35000;};</v>
      </c>
      <c r="E937" t="str">
        <f>IFERROR(__xludf.DUMMYFUNCTION("if(ISBLANK(A937),, if('RHS INPUT'!E937=1,CONCATENATE(CHAR(34),To_Text('RHS INPUT'!C937),CHAR(34),CHAR(44)),""""))"),"""rhsusf_M1083A1P2_B_wd_open_fmtv_usarmy"",")</f>
        <v>"rhsusf_M1083A1P2_B_wd_open_fmtv_usarmy",</v>
      </c>
      <c r="F937" s="28" t="str">
        <f>IF(isblank(A937) ,Concatenate("&gt; ",'RHS INPUT'!A937) , if('RHS INPUT'!F937=1,CONCATENATE(round('RHS INPUT'!N937),Char(44)," ",'RHS INPUT'!C937),""))</f>
        <v/>
      </c>
    </row>
    <row r="938" ht="12.0" customHeight="1">
      <c r="A938" s="1" t="str">
        <f>IFERROR(__xludf.DUMMYFUNCTION("if(ISBLANK('RHS INPUT'!C938),,CONCATENATE(CHAR(34),To_Text('RHS INPUT'!C938),CHAR(34),CHAR(44)))"),"""rhs_typhoon_vdv"",")</f>
        <v>"rhs_typhoon_vdv",</v>
      </c>
      <c r="B938" s="18" t="str">
        <f>if(isblank('RHS INPUT'!A938),,CONCATENATE("/*  ",'RHS INPUT'!A938,"  */"))</f>
        <v/>
      </c>
      <c r="C938" s="22" t="str">
        <f>if(isblank(A938),,if('RHS INPUT'!D938=1,Concatenate("class ",'RHS INPUT'!C938),))</f>
        <v>class rhs_typhoon_vdv</v>
      </c>
      <c r="D938" s="27" t="str">
        <f>if(ISBLANK(A938),,if('RHS INPUT'!D938=1,CONCATENATE("{quality = ",'RHS INPUT'!G938,"; price = ",Round('RHS INPUT'!M938),";};"),""))</f>
        <v>{quality = 1; price = 40000;};</v>
      </c>
      <c r="E938" t="str">
        <f>IFERROR(__xludf.DUMMYFUNCTION("if(ISBLANK(A938),, if('RHS INPUT'!E938=1,CONCATENATE(CHAR(34),To_Text('RHS INPUT'!C938),CHAR(34),CHAR(44)),""""))"),"""rhs_typhoon_vdv"",")</f>
        <v>"rhs_typhoon_vdv",</v>
      </c>
      <c r="F938" s="28" t="str">
        <f>IF(isblank(A938) ,Concatenate("&gt; ",'RHS INPUT'!A938) , if('RHS INPUT'!F938=1,CONCATENATE(round('RHS INPUT'!N938),Char(44)," ",'RHS INPUT'!C938),""))</f>
        <v/>
      </c>
    </row>
    <row r="939" ht="12.0" customHeight="1">
      <c r="A939" s="1" t="str">
        <f>IFERROR(__xludf.DUMMYFUNCTION("if(ISBLANK('RHS INPUT'!C939),,CONCATENATE(CHAR(34),To_Text('RHS INPUT'!C939),CHAR(34),CHAR(44)))"),"""rhsusf_m113_usarmy_unarmed"",")</f>
        <v>"rhsusf_m113_usarmy_unarmed",</v>
      </c>
      <c r="B939" s="18" t="str">
        <f>if(isblank('RHS INPUT'!A939),,CONCATENATE("/*  ",'RHS INPUT'!A939,"  */"))</f>
        <v/>
      </c>
      <c r="C939" s="22" t="str">
        <f>if(isblank(A939),,if('RHS INPUT'!D939=1,Concatenate("class ",'RHS INPUT'!C939),))</f>
        <v>class rhsusf_m113_usarmy_unarmed</v>
      </c>
      <c r="D939" s="27" t="str">
        <f>if(ISBLANK(A939),,if('RHS INPUT'!D939=1,CONCATENATE("{quality = ",'RHS INPUT'!G939,"; price = ",Round('RHS INPUT'!M939),";};"),""))</f>
        <v>{quality = 1; price = 50000;};</v>
      </c>
      <c r="E939" t="str">
        <f>IFERROR(__xludf.DUMMYFUNCTION("if(ISBLANK(A939),, if('RHS INPUT'!E939=1,CONCATENATE(CHAR(34),To_Text('RHS INPUT'!C939),CHAR(34),CHAR(44)),""""))"),"""rhsusf_m113_usarmy_unarmed"",")</f>
        <v>"rhsusf_m113_usarmy_unarmed",</v>
      </c>
      <c r="F939" s="28" t="str">
        <f>IF(isblank(A939) ,Concatenate("&gt; ",'RHS INPUT'!A939) , if('RHS INPUT'!F939=1,CONCATENATE(round('RHS INPUT'!N939),Char(44)," ",'RHS INPUT'!C939),""))</f>
        <v/>
      </c>
    </row>
    <row r="940" ht="12.0" customHeight="1">
      <c r="A940" s="1" t="str">
        <f>IFERROR(__xludf.DUMMYFUNCTION("if(ISBLANK('RHS INPUT'!C940),,CONCATENATE(CHAR(34),To_Text('RHS INPUT'!C940),CHAR(34),CHAR(44)))"),"""rhsusf_m113d_usarmy_unarmed"",")</f>
        <v>"rhsusf_m113d_usarmy_unarmed",</v>
      </c>
      <c r="B940" s="18" t="str">
        <f>if(isblank('RHS INPUT'!A940),,CONCATENATE("/*  ",'RHS INPUT'!A940,"  */"))</f>
        <v/>
      </c>
      <c r="C940" s="22" t="str">
        <f>if(isblank(A940),,if('RHS INPUT'!D940=1,Concatenate("class ",'RHS INPUT'!C940),))</f>
        <v>class rhsusf_m113d_usarmy_unarmed</v>
      </c>
      <c r="D940" s="27" t="str">
        <f>if(ISBLANK(A940),,if('RHS INPUT'!D940=1,CONCATENATE("{quality = ",'RHS INPUT'!G940,"; price = ",Round('RHS INPUT'!M940),";};"),""))</f>
        <v>{quality = 1; price = 50000;};</v>
      </c>
      <c r="E940" t="str">
        <f>IFERROR(__xludf.DUMMYFUNCTION("if(ISBLANK(A940),, if('RHS INPUT'!E940=1,CONCATENATE(CHAR(34),To_Text('RHS INPUT'!C940),CHAR(34),CHAR(44)),""""))"),"""rhsusf_m113d_usarmy_unarmed"",")</f>
        <v>"rhsusf_m113d_usarmy_unarmed",</v>
      </c>
      <c r="F940" s="28" t="str">
        <f>IF(isblank(A940) ,Concatenate("&gt; ",'RHS INPUT'!A940) , if('RHS INPUT'!F940=1,CONCATENATE(round('RHS INPUT'!N940),Char(44)," ",'RHS INPUT'!C940),""))</f>
        <v/>
      </c>
    </row>
    <row r="941" ht="12.0" customHeight="1">
      <c r="A941" s="1" t="str">
        <f>IFERROR(__xludf.DUMMYFUNCTION("if(ISBLANK('RHS INPUT'!C941),,CONCATENATE(CHAR(34),To_Text('RHS INPUT'!C941),CHAR(34),CHAR(44)))"),"")</f>
        <v/>
      </c>
      <c r="B941" s="18" t="str">
        <f>if(isblank('RHS INPUT'!A941),,CONCATENATE("/*  ",'RHS INPUT'!A941,"  */"))</f>
        <v>/*  CHOPPERS  */</v>
      </c>
      <c r="C941" s="22" t="str">
        <f>if(isblank(A941),,if('RHS INPUT'!D941=1,Concatenate("class ",'RHS INPUT'!C941),))</f>
        <v/>
      </c>
      <c r="D941" s="27" t="str">
        <f>if(ISBLANK(A941),,if('RHS INPUT'!D941=1,CONCATENATE("{quality = ",'RHS INPUT'!G941,"; price = ",Round('RHS INPUT'!M941),";};"),""))</f>
        <v/>
      </c>
      <c r="E941" t="str">
        <f>IFERROR(__xludf.DUMMYFUNCTION("if(ISBLANK(A941),, if('RHS INPUT'!E941=1,CONCATENATE(CHAR(34),To_Text('RHS INPUT'!C941),CHAR(34),CHAR(44)),""""))"),"")</f>
        <v/>
      </c>
      <c r="F941" s="28" t="str">
        <f>IF(isblank(A941) ,Concatenate("&gt; ",'RHS INPUT'!A941) , if('RHS INPUT'!F941=1,CONCATENATE(round('RHS INPUT'!N941),Char(44)," ",'RHS INPUT'!C941),""))</f>
        <v>&gt; CHOPPERS</v>
      </c>
    </row>
    <row r="942" ht="12.0" customHeight="1">
      <c r="A942" s="1" t="str">
        <f>IFERROR(__xludf.DUMMYFUNCTION("if(ISBLANK('RHS INPUT'!C942),,CONCATENATE(CHAR(34),To_Text('RHS INPUT'!C942),CHAR(34),CHAR(44)))"),"""Exile_Chopper_Hummingbird_Civillian_Wasp"",")</f>
        <v>"Exile_Chopper_Hummingbird_Civillian_Wasp",</v>
      </c>
      <c r="B942" s="18" t="str">
        <f>if(isblank('RHS INPUT'!A942),,CONCATENATE("/*  ",'RHS INPUT'!A942,"  */"))</f>
        <v/>
      </c>
      <c r="C942" s="22" t="str">
        <f>if(isblank(A942),,if('RHS INPUT'!D942=1,Concatenate("class ",'RHS INPUT'!C942),))</f>
        <v>class Exile_Chopper_Hummingbird_Civillian_Wasp</v>
      </c>
      <c r="D942" s="27" t="str">
        <f>if(ISBLANK(A942),,if('RHS INPUT'!D942=1,CONCATENATE("{quality = ",'RHS INPUT'!G942,"; price = ",Round('RHS INPUT'!M942),";};"),""))</f>
        <v>{quality = 1; price = 16000;};</v>
      </c>
      <c r="E942" t="str">
        <f>IFERROR(__xludf.DUMMYFUNCTION("if(ISBLANK(A942),, if('RHS INPUT'!E942=1,CONCATENATE(CHAR(34),To_Text('RHS INPUT'!C942),CHAR(34),CHAR(44)),""""))"),"""Exile_Chopper_Hummingbird_Civillian_Wasp"",")</f>
        <v>"Exile_Chopper_Hummingbird_Civillian_Wasp",</v>
      </c>
      <c r="F942" s="28" t="str">
        <f>IF(isblank(A942) ,Concatenate("&gt; ",'RHS INPUT'!A942) , if('RHS INPUT'!F942=1,CONCATENATE(round('RHS INPUT'!N942),Char(44)," ",'RHS INPUT'!C942),""))</f>
        <v/>
      </c>
    </row>
    <row r="943" ht="12.0" customHeight="1">
      <c r="A943" s="1" t="str">
        <f>IFERROR(__xludf.DUMMYFUNCTION("if(ISBLANK('RHS INPUT'!C943),,CONCATENATE(CHAR(34),To_Text('RHS INPUT'!C943),CHAR(34),CHAR(44)))"),"""Exile_Chopper_Hummingbird_Civillian_Blue"",")</f>
        <v>"Exile_Chopper_Hummingbird_Civillian_Blue",</v>
      </c>
      <c r="B943" s="18" t="str">
        <f>if(isblank('RHS INPUT'!A943),,CONCATENATE("/*  ",'RHS INPUT'!A943,"  */"))</f>
        <v/>
      </c>
      <c r="C943" s="22" t="str">
        <f>if(isblank(A943),,if('RHS INPUT'!D943=1,Concatenate("class ",'RHS INPUT'!C943),))</f>
        <v>class Exile_Chopper_Hummingbird_Civillian_Blue</v>
      </c>
      <c r="D943" s="27" t="str">
        <f>if(ISBLANK(A943),,if('RHS INPUT'!D943=1,CONCATENATE("{quality = ",'RHS INPUT'!G943,"; price = ",Round('RHS INPUT'!M943),";};"),""))</f>
        <v>{quality = 1; price = 16000;};</v>
      </c>
      <c r="E943" t="str">
        <f>IFERROR(__xludf.DUMMYFUNCTION("if(ISBLANK(A943),, if('RHS INPUT'!E943=1,CONCATENATE(CHAR(34),To_Text('RHS INPUT'!C943),CHAR(34),CHAR(44)),""""))"),"")</f>
        <v/>
      </c>
      <c r="F943" s="28" t="str">
        <f>IF(isblank(A943) ,Concatenate("&gt; ",'RHS INPUT'!A943) , if('RHS INPUT'!F943=1,CONCATENATE(round('RHS INPUT'!N943),Char(44)," ",'RHS INPUT'!C943),""))</f>
        <v/>
      </c>
    </row>
    <row r="944" ht="12.0" customHeight="1">
      <c r="A944" s="1" t="str">
        <f>IFERROR(__xludf.DUMMYFUNCTION("if(ISBLANK('RHS INPUT'!C944),,CONCATENATE(CHAR(34),To_Text('RHS INPUT'!C944),CHAR(34),CHAR(44)))"),"""Exile_Chopper_Hummingbird_Civillian_Red"",")</f>
        <v>"Exile_Chopper_Hummingbird_Civillian_Red",</v>
      </c>
      <c r="B944" s="18" t="str">
        <f>if(isblank('RHS INPUT'!A944),,CONCATENATE("/*  ",'RHS INPUT'!A944,"  */"))</f>
        <v/>
      </c>
      <c r="C944" s="22" t="str">
        <f>if(isblank(A944),,if('RHS INPUT'!D944=1,Concatenate("class ",'RHS INPUT'!C944),))</f>
        <v>class Exile_Chopper_Hummingbird_Civillian_Red</v>
      </c>
      <c r="D944" s="27" t="str">
        <f>if(ISBLANK(A944),,if('RHS INPUT'!D944=1,CONCATENATE("{quality = ",'RHS INPUT'!G944,"; price = ",Round('RHS INPUT'!M944),";};"),""))</f>
        <v>{quality = 1; price = 16000;};</v>
      </c>
      <c r="E944" t="str">
        <f>IFERROR(__xludf.DUMMYFUNCTION("if(ISBLANK(A944),, if('RHS INPUT'!E944=1,CONCATENATE(CHAR(34),To_Text('RHS INPUT'!C944),CHAR(34),CHAR(44)),""""))"),"")</f>
        <v/>
      </c>
      <c r="F944" s="28" t="str">
        <f>IF(isblank(A944) ,Concatenate("&gt; ",'RHS INPUT'!A944) , if('RHS INPUT'!F944=1,CONCATENATE(round('RHS INPUT'!N944),Char(44)," ",'RHS INPUT'!C944),""))</f>
        <v/>
      </c>
    </row>
    <row r="945" ht="12.0" customHeight="1">
      <c r="A945" s="1" t="str">
        <f>IFERROR(__xludf.DUMMYFUNCTION("if(ISBLANK('RHS INPUT'!C945),,CONCATENATE(CHAR(34),To_Text('RHS INPUT'!C945),CHAR(34),CHAR(44)))"),"""Exile_Chopper_Hummingbird_Civillian_ION"",")</f>
        <v>"Exile_Chopper_Hummingbird_Civillian_ION",</v>
      </c>
      <c r="B945" s="18" t="str">
        <f>if(isblank('RHS INPUT'!A945),,CONCATENATE("/*  ",'RHS INPUT'!A945,"  */"))</f>
        <v/>
      </c>
      <c r="C945" s="22" t="str">
        <f>if(isblank(A945),,if('RHS INPUT'!D945=1,Concatenate("class ",'RHS INPUT'!C945),))</f>
        <v>class Exile_Chopper_Hummingbird_Civillian_ION</v>
      </c>
      <c r="D945" s="27" t="str">
        <f>if(ISBLANK(A945),,if('RHS INPUT'!D945=1,CONCATENATE("{quality = ",'RHS INPUT'!G945,"; price = ",Round('RHS INPUT'!M945),";};"),""))</f>
        <v>{quality = 1; price = 16000;};</v>
      </c>
      <c r="E945" t="str">
        <f>IFERROR(__xludf.DUMMYFUNCTION("if(ISBLANK(A945),, if('RHS INPUT'!E945=1,CONCATENATE(CHAR(34),To_Text('RHS INPUT'!C945),CHAR(34),CHAR(44)),""""))"),"")</f>
        <v/>
      </c>
      <c r="F945" s="28" t="str">
        <f>IF(isblank(A945) ,Concatenate("&gt; ",'RHS INPUT'!A945) , if('RHS INPUT'!F945=1,CONCATENATE(round('RHS INPUT'!N945),Char(44)," ",'RHS INPUT'!C945),""))</f>
        <v/>
      </c>
    </row>
    <row r="946" ht="12.0" customHeight="1">
      <c r="A946" s="1" t="str">
        <f>IFERROR(__xludf.DUMMYFUNCTION("if(ISBLANK('RHS INPUT'!C946),,CONCATENATE(CHAR(34),To_Text('RHS INPUT'!C946),CHAR(34),CHAR(44)))"),"""Exile_Chopper_Hummingbird_Civillian_BlueLine"",")</f>
        <v>"Exile_Chopper_Hummingbird_Civillian_BlueLine",</v>
      </c>
      <c r="B946" s="18" t="str">
        <f>if(isblank('RHS INPUT'!A946),,CONCATENATE("/*  ",'RHS INPUT'!A946,"  */"))</f>
        <v/>
      </c>
      <c r="C946" s="22" t="str">
        <f>if(isblank(A946),,if('RHS INPUT'!D946=1,Concatenate("class ",'RHS INPUT'!C946),))</f>
        <v>class Exile_Chopper_Hummingbird_Civillian_BlueLine</v>
      </c>
      <c r="D946" s="27" t="str">
        <f>if(ISBLANK(A946),,if('RHS INPUT'!D946=1,CONCATENATE("{quality = ",'RHS INPUT'!G946,"; price = ",Round('RHS INPUT'!M946),";};"),""))</f>
        <v>{quality = 1; price = 16000;};</v>
      </c>
      <c r="E946" t="str">
        <f>IFERROR(__xludf.DUMMYFUNCTION("if(ISBLANK(A946),, if('RHS INPUT'!E946=1,CONCATENATE(CHAR(34),To_Text('RHS INPUT'!C946),CHAR(34),CHAR(44)),""""))"),"")</f>
        <v/>
      </c>
      <c r="F946" s="28" t="str">
        <f>IF(isblank(A946) ,Concatenate("&gt; ",'RHS INPUT'!A946) , if('RHS INPUT'!F946=1,CONCATENATE(round('RHS INPUT'!N946),Char(44)," ",'RHS INPUT'!C946),""))</f>
        <v/>
      </c>
    </row>
    <row r="947" ht="12.0" customHeight="1">
      <c r="A947" s="1" t="str">
        <f>IFERROR(__xludf.DUMMYFUNCTION("if(ISBLANK('RHS INPUT'!C947),,CONCATENATE(CHAR(34),To_Text('RHS INPUT'!C947),CHAR(34),CHAR(44)))"),"""Exile_Chopper_Hummingbird_Civillian_Digital"",")</f>
        <v>"Exile_Chopper_Hummingbird_Civillian_Digital",</v>
      </c>
      <c r="B947" s="18" t="str">
        <f>if(isblank('RHS INPUT'!A947),,CONCATENATE("/*  ",'RHS INPUT'!A947,"  */"))</f>
        <v/>
      </c>
      <c r="C947" s="22" t="str">
        <f>if(isblank(A947),,if('RHS INPUT'!D947=1,Concatenate("class ",'RHS INPUT'!C947),))</f>
        <v>class Exile_Chopper_Hummingbird_Civillian_Digital</v>
      </c>
      <c r="D947" s="27" t="str">
        <f>if(ISBLANK(A947),,if('RHS INPUT'!D947=1,CONCATENATE("{quality = ",'RHS INPUT'!G947,"; price = ",Round('RHS INPUT'!M947),";};"),""))</f>
        <v>{quality = 1; price = 16000;};</v>
      </c>
      <c r="E947" t="str">
        <f>IFERROR(__xludf.DUMMYFUNCTION("if(ISBLANK(A947),, if('RHS INPUT'!E947=1,CONCATENATE(CHAR(34),To_Text('RHS INPUT'!C947),CHAR(34),CHAR(44)),""""))"),"")</f>
        <v/>
      </c>
      <c r="F947" s="28" t="str">
        <f>IF(isblank(A947) ,Concatenate("&gt; ",'RHS INPUT'!A947) , if('RHS INPUT'!F947=1,CONCATENATE(round('RHS INPUT'!N947),Char(44)," ",'RHS INPUT'!C947),""))</f>
        <v/>
      </c>
    </row>
    <row r="948" ht="12.0" customHeight="1">
      <c r="A948" s="1" t="str">
        <f>IFERROR(__xludf.DUMMYFUNCTION("if(ISBLANK('RHS INPUT'!C948),,CONCATENATE(CHAR(34),To_Text('RHS INPUT'!C948),CHAR(34),CHAR(44)))"),"""Exile_Chopper_Hummingbird_Civillian_Elliptical"",")</f>
        <v>"Exile_Chopper_Hummingbird_Civillian_Elliptical",</v>
      </c>
      <c r="B948" s="18" t="str">
        <f>if(isblank('RHS INPUT'!A948),,CONCATENATE("/*  ",'RHS INPUT'!A948,"  */"))</f>
        <v/>
      </c>
      <c r="C948" s="22" t="str">
        <f>if(isblank(A948),,if('RHS INPUT'!D948=1,Concatenate("class ",'RHS INPUT'!C948),))</f>
        <v>class Exile_Chopper_Hummingbird_Civillian_Elliptical</v>
      </c>
      <c r="D948" s="27" t="str">
        <f>if(ISBLANK(A948),,if('RHS INPUT'!D948=1,CONCATENATE("{quality = ",'RHS INPUT'!G948,"; price = ",Round('RHS INPUT'!M948),";};"),""))</f>
        <v>{quality = 1; price = 16000;};</v>
      </c>
      <c r="E948" t="str">
        <f>IFERROR(__xludf.DUMMYFUNCTION("if(ISBLANK(A948),, if('RHS INPUT'!E948=1,CONCATENATE(CHAR(34),To_Text('RHS INPUT'!C948),CHAR(34),CHAR(44)),""""))"),"")</f>
        <v/>
      </c>
      <c r="F948" s="28" t="str">
        <f>IF(isblank(A948) ,Concatenate("&gt; ",'RHS INPUT'!A948) , if('RHS INPUT'!F948=1,CONCATENATE(round('RHS INPUT'!N948),Char(44)," ",'RHS INPUT'!C948),""))</f>
        <v/>
      </c>
    </row>
    <row r="949" ht="12.0" customHeight="1">
      <c r="A949" s="1" t="str">
        <f>IFERROR(__xludf.DUMMYFUNCTION("if(ISBLANK('RHS INPUT'!C949),,CONCATENATE(CHAR(34),To_Text('RHS INPUT'!C949),CHAR(34),CHAR(44)))"),"""Exile_Chopper_Hummingbird_Civillian_Furious"",")</f>
        <v>"Exile_Chopper_Hummingbird_Civillian_Furious",</v>
      </c>
      <c r="B949" s="18" t="str">
        <f>if(isblank('RHS INPUT'!A949),,CONCATENATE("/*  ",'RHS INPUT'!A949,"  */"))</f>
        <v/>
      </c>
      <c r="C949" s="22" t="str">
        <f>if(isblank(A949),,if('RHS INPUT'!D949=1,Concatenate("class ",'RHS INPUT'!C949),))</f>
        <v>class Exile_Chopper_Hummingbird_Civillian_Furious</v>
      </c>
      <c r="D949" s="27" t="str">
        <f>if(ISBLANK(A949),,if('RHS INPUT'!D949=1,CONCATENATE("{quality = ",'RHS INPUT'!G949,"; price = ",Round('RHS INPUT'!M949),";};"),""))</f>
        <v>{quality = 1; price = 16000;};</v>
      </c>
      <c r="E949" t="str">
        <f>IFERROR(__xludf.DUMMYFUNCTION("if(ISBLANK(A949),, if('RHS INPUT'!E949=1,CONCATENATE(CHAR(34),To_Text('RHS INPUT'!C949),CHAR(34),CHAR(44)),""""))"),"")</f>
        <v/>
      </c>
      <c r="F949" s="28" t="str">
        <f>IF(isblank(A949) ,Concatenate("&gt; ",'RHS INPUT'!A949) , if('RHS INPUT'!F949=1,CONCATENATE(round('RHS INPUT'!N949),Char(44)," ",'RHS INPUT'!C949),""))</f>
        <v/>
      </c>
    </row>
    <row r="950" ht="12.0" customHeight="1">
      <c r="A950" s="1" t="str">
        <f>IFERROR(__xludf.DUMMYFUNCTION("if(ISBLANK('RHS INPUT'!C950),,CONCATENATE(CHAR(34),To_Text('RHS INPUT'!C950),CHAR(34),CHAR(44)))"),"""Exile_Chopper_Hummingbird_Civillian_GrayWatcher"",")</f>
        <v>"Exile_Chopper_Hummingbird_Civillian_GrayWatcher",</v>
      </c>
      <c r="B950" s="18" t="str">
        <f>if(isblank('RHS INPUT'!A950),,CONCATENATE("/*  ",'RHS INPUT'!A950,"  */"))</f>
        <v/>
      </c>
      <c r="C950" s="22" t="str">
        <f>if(isblank(A950),,if('RHS INPUT'!D950=1,Concatenate("class ",'RHS INPUT'!C950),))</f>
        <v>class Exile_Chopper_Hummingbird_Civillian_GrayWatcher</v>
      </c>
      <c r="D950" s="27" t="str">
        <f>if(ISBLANK(A950),,if('RHS INPUT'!D950=1,CONCATENATE("{quality = ",'RHS INPUT'!G950,"; price = ",Round('RHS INPUT'!M950),";};"),""))</f>
        <v>{quality = 1; price = 16000;};</v>
      </c>
      <c r="E950" t="str">
        <f>IFERROR(__xludf.DUMMYFUNCTION("if(ISBLANK(A950),, if('RHS INPUT'!E950=1,CONCATENATE(CHAR(34),To_Text('RHS INPUT'!C950),CHAR(34),CHAR(44)),""""))"),"")</f>
        <v/>
      </c>
      <c r="F950" s="28" t="str">
        <f>IF(isblank(A950) ,Concatenate("&gt; ",'RHS INPUT'!A950) , if('RHS INPUT'!F950=1,CONCATENATE(round('RHS INPUT'!N950),Char(44)," ",'RHS INPUT'!C950),""))</f>
        <v/>
      </c>
    </row>
    <row r="951" ht="12.0" customHeight="1">
      <c r="A951" s="1" t="str">
        <f>IFERROR(__xludf.DUMMYFUNCTION("if(ISBLANK('RHS INPUT'!C951),,CONCATENATE(CHAR(34),To_Text('RHS INPUT'!C951),CHAR(34),CHAR(44)))"),"""Exile_Chopper_Hummingbird_Civillian_Jeans"",")</f>
        <v>"Exile_Chopper_Hummingbird_Civillian_Jeans",</v>
      </c>
      <c r="B951" s="18" t="str">
        <f>if(isblank('RHS INPUT'!A951),,CONCATENATE("/*  ",'RHS INPUT'!A951,"  */"))</f>
        <v/>
      </c>
      <c r="C951" s="22" t="str">
        <f>if(isblank(A951),,if('RHS INPUT'!D951=1,Concatenate("class ",'RHS INPUT'!C951),))</f>
        <v>class Exile_Chopper_Hummingbird_Civillian_Jeans</v>
      </c>
      <c r="D951" s="27" t="str">
        <f>if(ISBLANK(A951),,if('RHS INPUT'!D951=1,CONCATENATE("{quality = ",'RHS INPUT'!G951,"; price = ",Round('RHS INPUT'!M951),";};"),""))</f>
        <v>{quality = 1; price = 16000;};</v>
      </c>
      <c r="E951" t="str">
        <f>IFERROR(__xludf.DUMMYFUNCTION("if(ISBLANK(A951),, if('RHS INPUT'!E951=1,CONCATENATE(CHAR(34),To_Text('RHS INPUT'!C951),CHAR(34),CHAR(44)),""""))"),"")</f>
        <v/>
      </c>
      <c r="F951" s="28" t="str">
        <f>IF(isblank(A951) ,Concatenate("&gt; ",'RHS INPUT'!A951) , if('RHS INPUT'!F951=1,CONCATENATE(round('RHS INPUT'!N951),Char(44)," ",'RHS INPUT'!C951),""))</f>
        <v/>
      </c>
    </row>
    <row r="952" ht="12.0" customHeight="1">
      <c r="A952" s="1" t="str">
        <f>IFERROR(__xludf.DUMMYFUNCTION("if(ISBLANK('RHS INPUT'!C952),,CONCATENATE(CHAR(34),To_Text('RHS INPUT'!C952),CHAR(34),CHAR(44)))"),"""Exile_Chopper_Hummingbird_Civillian_Light"",")</f>
        <v>"Exile_Chopper_Hummingbird_Civillian_Light",</v>
      </c>
      <c r="B952" s="18" t="str">
        <f>if(isblank('RHS INPUT'!A952),,CONCATENATE("/*  ",'RHS INPUT'!A952,"  */"))</f>
        <v/>
      </c>
      <c r="C952" s="22" t="str">
        <f>if(isblank(A952),,if('RHS INPUT'!D952=1,Concatenate("class ",'RHS INPUT'!C952),))</f>
        <v>class Exile_Chopper_Hummingbird_Civillian_Light</v>
      </c>
      <c r="D952" s="27" t="str">
        <f>if(ISBLANK(A952),,if('RHS INPUT'!D952=1,CONCATENATE("{quality = ",'RHS INPUT'!G952,"; price = ",Round('RHS INPUT'!M952),";};"),""))</f>
        <v>{quality = 1; price = 16000;};</v>
      </c>
      <c r="E952" t="str">
        <f>IFERROR(__xludf.DUMMYFUNCTION("if(ISBLANK(A952),, if('RHS INPUT'!E952=1,CONCATENATE(CHAR(34),To_Text('RHS INPUT'!C952),CHAR(34),CHAR(44)),""""))"),"")</f>
        <v/>
      </c>
      <c r="F952" s="28" t="str">
        <f>IF(isblank(A952) ,Concatenate("&gt; ",'RHS INPUT'!A952) , if('RHS INPUT'!F952=1,CONCATENATE(round('RHS INPUT'!N952),Char(44)," ",'RHS INPUT'!C952),""))</f>
        <v/>
      </c>
    </row>
    <row r="953" ht="12.0" customHeight="1">
      <c r="A953" s="1" t="str">
        <f>IFERROR(__xludf.DUMMYFUNCTION("if(ISBLANK('RHS INPUT'!C953),,CONCATENATE(CHAR(34),To_Text('RHS INPUT'!C953),CHAR(34),CHAR(44)))"),"""Exile_Chopper_Hummingbird_Civillian_Shadow"",")</f>
        <v>"Exile_Chopper_Hummingbird_Civillian_Shadow",</v>
      </c>
      <c r="B953" s="18" t="str">
        <f>if(isblank('RHS INPUT'!A953),,CONCATENATE("/*  ",'RHS INPUT'!A953,"  */"))</f>
        <v/>
      </c>
      <c r="C953" s="22" t="str">
        <f>if(isblank(A953),,if('RHS INPUT'!D953=1,Concatenate("class ",'RHS INPUT'!C953),))</f>
        <v>class Exile_Chopper_Hummingbird_Civillian_Shadow</v>
      </c>
      <c r="D953" s="27" t="str">
        <f>if(ISBLANK(A953),,if('RHS INPUT'!D953=1,CONCATENATE("{quality = ",'RHS INPUT'!G953,"; price = ",Round('RHS INPUT'!M953),";};"),""))</f>
        <v>{quality = 1; price = 16000;};</v>
      </c>
      <c r="E953" t="str">
        <f>IFERROR(__xludf.DUMMYFUNCTION("if(ISBLANK(A953),, if('RHS INPUT'!E953=1,CONCATENATE(CHAR(34),To_Text('RHS INPUT'!C953),CHAR(34),CHAR(44)),""""))"),"")</f>
        <v/>
      </c>
      <c r="F953" s="28" t="str">
        <f>IF(isblank(A953) ,Concatenate("&gt; ",'RHS INPUT'!A953) , if('RHS INPUT'!F953=1,CONCATENATE(round('RHS INPUT'!N953),Char(44)," ",'RHS INPUT'!C953),""))</f>
        <v/>
      </c>
    </row>
    <row r="954" ht="12.0" customHeight="1">
      <c r="A954" s="1" t="str">
        <f>IFERROR(__xludf.DUMMYFUNCTION("if(ISBLANK('RHS INPUT'!C954),,CONCATENATE(CHAR(34),To_Text('RHS INPUT'!C954),CHAR(34),CHAR(44)))"),"""Exile_Chopper_Hummingbird_Civillian_Sheriff"",")</f>
        <v>"Exile_Chopper_Hummingbird_Civillian_Sheriff",</v>
      </c>
      <c r="B954" s="18" t="str">
        <f>if(isblank('RHS INPUT'!A954),,CONCATENATE("/*  ",'RHS INPUT'!A954,"  */"))</f>
        <v/>
      </c>
      <c r="C954" s="22" t="str">
        <f>if(isblank(A954),,if('RHS INPUT'!D954=1,Concatenate("class ",'RHS INPUT'!C954),))</f>
        <v>class Exile_Chopper_Hummingbird_Civillian_Sheriff</v>
      </c>
      <c r="D954" s="27" t="str">
        <f>if(ISBLANK(A954),,if('RHS INPUT'!D954=1,CONCATENATE("{quality = ",'RHS INPUT'!G954,"; price = ",Round('RHS INPUT'!M954),";};"),""))</f>
        <v>{quality = 1; price = 16000;};</v>
      </c>
      <c r="E954" t="str">
        <f>IFERROR(__xludf.DUMMYFUNCTION("if(ISBLANK(A954),, if('RHS INPUT'!E954=1,CONCATENATE(CHAR(34),To_Text('RHS INPUT'!C954),CHAR(34),CHAR(44)),""""))"),"")</f>
        <v/>
      </c>
      <c r="F954" s="28" t="str">
        <f>IF(isblank(A954) ,Concatenate("&gt; ",'RHS INPUT'!A954) , if('RHS INPUT'!F954=1,CONCATENATE(round('RHS INPUT'!N954),Char(44)," ",'RHS INPUT'!C954),""))</f>
        <v/>
      </c>
    </row>
    <row r="955" ht="12.0" customHeight="1">
      <c r="A955" s="1" t="str">
        <f>IFERROR(__xludf.DUMMYFUNCTION("if(ISBLANK('RHS INPUT'!C955),,CONCATENATE(CHAR(34),To_Text('RHS INPUT'!C955),CHAR(34),CHAR(44)))"),"""Exile_Chopper_Hummingbird_Civillian_Speedy"",")</f>
        <v>"Exile_Chopper_Hummingbird_Civillian_Speedy",</v>
      </c>
      <c r="B955" s="18" t="str">
        <f>if(isblank('RHS INPUT'!A955),,CONCATENATE("/*  ",'RHS INPUT'!A955,"  */"))</f>
        <v/>
      </c>
      <c r="C955" s="22" t="str">
        <f>if(isblank(A955),,if('RHS INPUT'!D955=1,Concatenate("class ",'RHS INPUT'!C955),))</f>
        <v>class Exile_Chopper_Hummingbird_Civillian_Speedy</v>
      </c>
      <c r="D955" s="27" t="str">
        <f>if(ISBLANK(A955),,if('RHS INPUT'!D955=1,CONCATENATE("{quality = ",'RHS INPUT'!G955,"; price = ",Round('RHS INPUT'!M955),";};"),""))</f>
        <v>{quality = 1; price = 16000;};</v>
      </c>
      <c r="E955" t="str">
        <f>IFERROR(__xludf.DUMMYFUNCTION("if(ISBLANK(A955),, if('RHS INPUT'!E955=1,CONCATENATE(CHAR(34),To_Text('RHS INPUT'!C955),CHAR(34),CHAR(44)),""""))"),"")</f>
        <v/>
      </c>
      <c r="F955" s="28" t="str">
        <f>IF(isblank(A955) ,Concatenate("&gt; ",'RHS INPUT'!A955) , if('RHS INPUT'!F955=1,CONCATENATE(round('RHS INPUT'!N955),Char(44)," ",'RHS INPUT'!C955),""))</f>
        <v/>
      </c>
    </row>
    <row r="956" ht="12.0" customHeight="1">
      <c r="A956" s="1" t="str">
        <f>IFERROR(__xludf.DUMMYFUNCTION("if(ISBLANK('RHS INPUT'!C956),,CONCATENATE(CHAR(34),To_Text('RHS INPUT'!C956),CHAR(34),CHAR(44)))"),"""Exile_Chopper_Hummingbird_Civillian_Sunset"",")</f>
        <v>"Exile_Chopper_Hummingbird_Civillian_Sunset",</v>
      </c>
      <c r="B956" s="18" t="str">
        <f>if(isblank('RHS INPUT'!A956),,CONCATENATE("/*  ",'RHS INPUT'!A956,"  */"))</f>
        <v/>
      </c>
      <c r="C956" s="22" t="str">
        <f>if(isblank(A956),,if('RHS INPUT'!D956=1,Concatenate("class ",'RHS INPUT'!C956),))</f>
        <v>class Exile_Chopper_Hummingbird_Civillian_Sunset</v>
      </c>
      <c r="D956" s="27" t="str">
        <f>if(ISBLANK(A956),,if('RHS INPUT'!D956=1,CONCATENATE("{quality = ",'RHS INPUT'!G956,"; price = ",Round('RHS INPUT'!M956),";};"),""))</f>
        <v>{quality = 1; price = 16000;};</v>
      </c>
      <c r="E956" t="str">
        <f>IFERROR(__xludf.DUMMYFUNCTION("if(ISBLANK(A956),, if('RHS INPUT'!E956=1,CONCATENATE(CHAR(34),To_Text('RHS INPUT'!C956),CHAR(34),CHAR(44)),""""))"),"")</f>
        <v/>
      </c>
      <c r="F956" s="28" t="str">
        <f>IF(isblank(A956) ,Concatenate("&gt; ",'RHS INPUT'!A956) , if('RHS INPUT'!F956=1,CONCATENATE(round('RHS INPUT'!N956),Char(44)," ",'RHS INPUT'!C956),""))</f>
        <v/>
      </c>
    </row>
    <row r="957" ht="12.0" customHeight="1">
      <c r="A957" s="1" t="str">
        <f>IFERROR(__xludf.DUMMYFUNCTION("if(ISBLANK('RHS INPUT'!C957),,CONCATENATE(CHAR(34),To_Text('RHS INPUT'!C957),CHAR(34),CHAR(44)))"),"""Exile_Chopper_Hummingbird_Civillian_Vrana"",")</f>
        <v>"Exile_Chopper_Hummingbird_Civillian_Vrana",</v>
      </c>
      <c r="B957" s="18" t="str">
        <f>if(isblank('RHS INPUT'!A957),,CONCATENATE("/*  ",'RHS INPUT'!A957,"  */"))</f>
        <v/>
      </c>
      <c r="C957" s="22" t="str">
        <f>if(isblank(A957),,if('RHS INPUT'!D957=1,Concatenate("class ",'RHS INPUT'!C957),))</f>
        <v>class Exile_Chopper_Hummingbird_Civillian_Vrana</v>
      </c>
      <c r="D957" s="27" t="str">
        <f>if(ISBLANK(A957),,if('RHS INPUT'!D957=1,CONCATENATE("{quality = ",'RHS INPUT'!G957,"; price = ",Round('RHS INPUT'!M957),";};"),""))</f>
        <v>{quality = 1; price = 16000;};</v>
      </c>
      <c r="E957" t="str">
        <f>IFERROR(__xludf.DUMMYFUNCTION("if(ISBLANK(A957),, if('RHS INPUT'!E957=1,CONCATENATE(CHAR(34),To_Text('RHS INPUT'!C957),CHAR(34),CHAR(44)),""""))"),"")</f>
        <v/>
      </c>
      <c r="F957" s="28" t="str">
        <f>IF(isblank(A957) ,Concatenate("&gt; ",'RHS INPUT'!A957) , if('RHS INPUT'!F957=1,CONCATENATE(round('RHS INPUT'!N957),Char(44)," ",'RHS INPUT'!C957),""))</f>
        <v/>
      </c>
    </row>
    <row r="958" ht="12.0" customHeight="1">
      <c r="A958" s="1" t="str">
        <f>IFERROR(__xludf.DUMMYFUNCTION("if(ISBLANK('RHS INPUT'!C958),,CONCATENATE(CHAR(34),To_Text('RHS INPUT'!C958),CHAR(34),CHAR(44)))"),"""Exile_Chopper_Hummingbird_Civillian_Wave"",")</f>
        <v>"Exile_Chopper_Hummingbird_Civillian_Wave",</v>
      </c>
      <c r="B958" s="18" t="str">
        <f>if(isblank('RHS INPUT'!A958),,CONCATENATE("/*  ",'RHS INPUT'!A958,"  */"))</f>
        <v/>
      </c>
      <c r="C958" s="22" t="str">
        <f>if(isblank(A958),,if('RHS INPUT'!D958=1,Concatenate("class ",'RHS INPUT'!C958),))</f>
        <v>class Exile_Chopper_Hummingbird_Civillian_Wave</v>
      </c>
      <c r="D958" s="27" t="str">
        <f>if(ISBLANK(A958),,if('RHS INPUT'!D958=1,CONCATENATE("{quality = ",'RHS INPUT'!G958,"; price = ",Round('RHS INPUT'!M958),";};"),""))</f>
        <v>{quality = 1; price = 16000;};</v>
      </c>
      <c r="E958" t="str">
        <f>IFERROR(__xludf.DUMMYFUNCTION("if(ISBLANK(A958),, if('RHS INPUT'!E958=1,CONCATENATE(CHAR(34),To_Text('RHS INPUT'!C958),CHAR(34),CHAR(44)),""""))"),"")</f>
        <v/>
      </c>
      <c r="F958" s="28" t="str">
        <f>IF(isblank(A958) ,Concatenate("&gt; ",'RHS INPUT'!A958) , if('RHS INPUT'!F958=1,CONCATENATE(round('RHS INPUT'!N958),Char(44)," ",'RHS INPUT'!C958),""))</f>
        <v/>
      </c>
    </row>
    <row r="959" ht="12.0" customHeight="1">
      <c r="A959" s="1" t="str">
        <f>IFERROR(__xludf.DUMMYFUNCTION("if(ISBLANK('RHS INPUT'!C959),,CONCATENATE(CHAR(34),To_Text('RHS INPUT'!C959),CHAR(34),CHAR(44)))"),"""Exile_Chopper_Hummingbird_Green"",")</f>
        <v>"Exile_Chopper_Hummingbird_Green",</v>
      </c>
      <c r="B959" s="18" t="str">
        <f>if(isblank('RHS INPUT'!A959),,CONCATENATE("/*  ",'RHS INPUT'!A959,"  */"))</f>
        <v/>
      </c>
      <c r="C959" s="22" t="str">
        <f>if(isblank(A959),,if('RHS INPUT'!D959=1,Concatenate("class ",'RHS INPUT'!C959),))</f>
        <v>class Exile_Chopper_Hummingbird_Green</v>
      </c>
      <c r="D959" s="27" t="str">
        <f>if(ISBLANK(A959),,if('RHS INPUT'!D959=1,CONCATENATE("{quality = ",'RHS INPUT'!G959,"; price = ",Round('RHS INPUT'!M959),";};"),""))</f>
        <v>{quality = 1; price = 23000;};</v>
      </c>
      <c r="E959" t="str">
        <f>IFERROR(__xludf.DUMMYFUNCTION("if(ISBLANK(A959),, if('RHS INPUT'!E959=1,CONCATENATE(CHAR(34),To_Text('RHS INPUT'!C959),CHAR(34),CHAR(44)),""""))"),"""Exile_Chopper_Hummingbird_Green"",")</f>
        <v>"Exile_Chopper_Hummingbird_Green",</v>
      </c>
      <c r="F959" s="28" t="str">
        <f>IF(isblank(A959) ,Concatenate("&gt; ",'RHS INPUT'!A959) , if('RHS INPUT'!F959=1,CONCATENATE(round('RHS INPUT'!N959),Char(44)," ",'RHS INPUT'!C959),""))</f>
        <v/>
      </c>
    </row>
    <row r="960" ht="12.0" customHeight="1">
      <c r="A960" s="1" t="str">
        <f>IFERROR(__xludf.DUMMYFUNCTION("if(ISBLANK('RHS INPUT'!C960),,CONCATENATE(CHAR(34),To_Text('RHS INPUT'!C960),CHAR(34),CHAR(44)))"),"""Exile_Chopper_Hellcat_Green"",")</f>
        <v>"Exile_Chopper_Hellcat_Green",</v>
      </c>
      <c r="B960" s="18" t="str">
        <f>if(isblank('RHS INPUT'!A960),,CONCATENATE("/*  ",'RHS INPUT'!A960,"  */"))</f>
        <v/>
      </c>
      <c r="C960" s="22" t="str">
        <f>if(isblank(A960),,if('RHS INPUT'!D960=1,Concatenate("class ",'RHS INPUT'!C960),))</f>
        <v>class Exile_Chopper_Hellcat_Green</v>
      </c>
      <c r="D960" s="27" t="str">
        <f>if(ISBLANK(A960),,if('RHS INPUT'!D960=1,CONCATENATE("{quality = ",'RHS INPUT'!G960,"; price = ",Round('RHS INPUT'!M960),";};"),""))</f>
        <v>{quality = 1; price = 30000;};</v>
      </c>
      <c r="E960" t="str">
        <f>IFERROR(__xludf.DUMMYFUNCTION("if(ISBLANK(A960),, if('RHS INPUT'!E960=1,CONCATENATE(CHAR(34),To_Text('RHS INPUT'!C960),CHAR(34),CHAR(44)),""""))"),"""Exile_Chopper_Hellcat_Green"",")</f>
        <v>"Exile_Chopper_Hellcat_Green",</v>
      </c>
      <c r="F960" s="28" t="str">
        <f>IF(isblank(A960) ,Concatenate("&gt; ",'RHS INPUT'!A960) , if('RHS INPUT'!F960=1,CONCATENATE(round('RHS INPUT'!N960),Char(44)," ",'RHS INPUT'!C960),""))</f>
        <v/>
      </c>
    </row>
    <row r="961" ht="12.0" customHeight="1">
      <c r="A961" s="1" t="str">
        <f>IFERROR(__xludf.DUMMYFUNCTION("if(ISBLANK('RHS INPUT'!C961),,CONCATENATE(CHAR(34),To_Text('RHS INPUT'!C961),CHAR(34),CHAR(44)))"),"""Exile_Chopper_Hellcat_FIA"",")</f>
        <v>"Exile_Chopper_Hellcat_FIA",</v>
      </c>
      <c r="B961" s="18" t="str">
        <f>if(isblank('RHS INPUT'!A961),,CONCATENATE("/*  ",'RHS INPUT'!A961,"  */"))</f>
        <v/>
      </c>
      <c r="C961" s="22" t="str">
        <f>if(isblank(A961),,if('RHS INPUT'!D961=1,Concatenate("class ",'RHS INPUT'!C961),))</f>
        <v>class Exile_Chopper_Hellcat_FIA</v>
      </c>
      <c r="D961" s="27" t="str">
        <f>if(ISBLANK(A961),,if('RHS INPUT'!D961=1,CONCATENATE("{quality = ",'RHS INPUT'!G961,"; price = ",Round('RHS INPUT'!M961),";};"),""))</f>
        <v>{quality = 1; price = 30000;};</v>
      </c>
      <c r="E961" t="str">
        <f>IFERROR(__xludf.DUMMYFUNCTION("if(ISBLANK(A961),, if('RHS INPUT'!E961=1,CONCATENATE(CHAR(34),To_Text('RHS INPUT'!C961),CHAR(34),CHAR(44)),""""))"),"")</f>
        <v/>
      </c>
      <c r="F961" s="28" t="str">
        <f>IF(isblank(A961) ,Concatenate("&gt; ",'RHS INPUT'!A961) , if('RHS INPUT'!F961=1,CONCATENATE(round('RHS INPUT'!N961),Char(44)," ",'RHS INPUT'!C961),""))</f>
        <v/>
      </c>
    </row>
    <row r="962" ht="12.0" customHeight="1">
      <c r="A962" s="1" t="str">
        <f>IFERROR(__xludf.DUMMYFUNCTION("if(ISBLANK('RHS INPUT'!C962),,CONCATENATE(CHAR(34),To_Text('RHS INPUT'!C962),CHAR(34),CHAR(44)))"),"""Exile_Chopper_Orca_BlackCustom"",")</f>
        <v>"Exile_Chopper_Orca_BlackCustom",</v>
      </c>
      <c r="B962" s="18" t="str">
        <f>if(isblank('RHS INPUT'!A962),,CONCATENATE("/*  ",'RHS INPUT'!A962,"  */"))</f>
        <v/>
      </c>
      <c r="C962" s="22" t="str">
        <f>if(isblank(A962),,if('RHS INPUT'!D962=1,Concatenate("class ",'RHS INPUT'!C962),))</f>
        <v>class Exile_Chopper_Orca_BlackCustom</v>
      </c>
      <c r="D962" s="27" t="str">
        <f>if(ISBLANK(A962),,if('RHS INPUT'!D962=1,CONCATENATE("{quality = ",'RHS INPUT'!G962,"; price = ",Round('RHS INPUT'!M962),";};"),""))</f>
        <v>{quality = 1; price = 28000;};</v>
      </c>
      <c r="E962" t="str">
        <f>IFERROR(__xludf.DUMMYFUNCTION("if(ISBLANK(A962),, if('RHS INPUT'!E962=1,CONCATENATE(CHAR(34),To_Text('RHS INPUT'!C962),CHAR(34),CHAR(44)),""""))"),"""Exile_Chopper_Orca_BlackCustom"",")</f>
        <v>"Exile_Chopper_Orca_BlackCustom",</v>
      </c>
      <c r="F962" s="28" t="str">
        <f>IF(isblank(A962) ,Concatenate("&gt; ",'RHS INPUT'!A962) , if('RHS INPUT'!F962=1,CONCATENATE(round('RHS INPUT'!N962),Char(44)," ",'RHS INPUT'!C962),""))</f>
        <v/>
      </c>
    </row>
    <row r="963" ht="12.0" customHeight="1">
      <c r="A963" s="1" t="str">
        <f>IFERROR(__xludf.DUMMYFUNCTION("if(ISBLANK('RHS INPUT'!C963),,CONCATENATE(CHAR(34),To_Text('RHS INPUT'!C963),CHAR(34),CHAR(44)))"),"""Exile_Chopper_Orca_CSAT"",")</f>
        <v>"Exile_Chopper_Orca_CSAT",</v>
      </c>
      <c r="B963" s="18" t="str">
        <f>if(isblank('RHS INPUT'!A963),,CONCATENATE("/*  ",'RHS INPUT'!A963,"  */"))</f>
        <v/>
      </c>
      <c r="C963" s="22" t="str">
        <f>if(isblank(A963),,if('RHS INPUT'!D963=1,Concatenate("class ",'RHS INPUT'!C963),))</f>
        <v>class Exile_Chopper_Orca_CSAT</v>
      </c>
      <c r="D963" s="27" t="str">
        <f>if(ISBLANK(A963),,if('RHS INPUT'!D963=1,CONCATENATE("{quality = ",'RHS INPUT'!G963,"; price = ",Round('RHS INPUT'!M963),";};"),""))</f>
        <v>{quality = 1; price = 28000;};</v>
      </c>
      <c r="E963" t="str">
        <f>IFERROR(__xludf.DUMMYFUNCTION("if(ISBLANK(A963),, if('RHS INPUT'!E963=1,CONCATENATE(CHAR(34),To_Text('RHS INPUT'!C963),CHAR(34),CHAR(44)),""""))"),"")</f>
        <v/>
      </c>
      <c r="F963" s="28" t="str">
        <f>IF(isblank(A963) ,Concatenate("&gt; ",'RHS INPUT'!A963) , if('RHS INPUT'!F963=1,CONCATENATE(round('RHS INPUT'!N963),Char(44)," ",'RHS INPUT'!C963),""))</f>
        <v/>
      </c>
    </row>
    <row r="964" ht="12.0" customHeight="1">
      <c r="A964" s="1" t="str">
        <f>IFERROR(__xludf.DUMMYFUNCTION("if(ISBLANK('RHS INPUT'!C964),,CONCATENATE(CHAR(34),To_Text('RHS INPUT'!C964),CHAR(34),CHAR(44)))"),"""Exile_Chopper_Orca_Black"",")</f>
        <v>"Exile_Chopper_Orca_Black",</v>
      </c>
      <c r="B964" s="18" t="str">
        <f>if(isblank('RHS INPUT'!A964),,CONCATENATE("/*  ",'RHS INPUT'!A964,"  */"))</f>
        <v/>
      </c>
      <c r="C964" s="22" t="str">
        <f>if(isblank(A964),,if('RHS INPUT'!D964=1,Concatenate("class ",'RHS INPUT'!C964),))</f>
        <v>class Exile_Chopper_Orca_Black</v>
      </c>
      <c r="D964" s="27" t="str">
        <f>if(ISBLANK(A964),,if('RHS INPUT'!D964=1,CONCATENATE("{quality = ",'RHS INPUT'!G964,"; price = ",Round('RHS INPUT'!M964),";};"),""))</f>
        <v>{quality = 1; price = 28000;};</v>
      </c>
      <c r="E964" t="str">
        <f>IFERROR(__xludf.DUMMYFUNCTION("if(ISBLANK(A964),, if('RHS INPUT'!E964=1,CONCATENATE(CHAR(34),To_Text('RHS INPUT'!C964),CHAR(34),CHAR(44)),""""))"),"")</f>
        <v/>
      </c>
      <c r="F964" s="28" t="str">
        <f>IF(isblank(A964) ,Concatenate("&gt; ",'RHS INPUT'!A964) , if('RHS INPUT'!F964=1,CONCATENATE(round('RHS INPUT'!N964),Char(44)," ",'RHS INPUT'!C964),""))</f>
        <v/>
      </c>
    </row>
    <row r="965" ht="12.0" customHeight="1">
      <c r="A965" s="1" t="str">
        <f>IFERROR(__xludf.DUMMYFUNCTION("if(ISBLANK('RHS INPUT'!C965),,CONCATENATE(CHAR(34),To_Text('RHS INPUT'!C965),CHAR(34),CHAR(44)))"),"""Exile_Chopper_Taru_Transport_CSAT"",")</f>
        <v>"Exile_Chopper_Taru_Transport_CSAT",</v>
      </c>
      <c r="B965" s="18" t="str">
        <f>if(isblank('RHS INPUT'!A965),,CONCATENATE("/*  ",'RHS INPUT'!A965,"  */"))</f>
        <v/>
      </c>
      <c r="C965" s="22" t="str">
        <f>if(isblank(A965),,if('RHS INPUT'!D965=1,Concatenate("class ",'RHS INPUT'!C965),))</f>
        <v>class Exile_Chopper_Taru_Transport_CSAT</v>
      </c>
      <c r="D965" s="27" t="str">
        <f>if(ISBLANK(A965),,if('RHS INPUT'!D965=1,CONCATENATE("{quality = ",'RHS INPUT'!G965,"; price = ",Round('RHS INPUT'!M965),";};"),""))</f>
        <v>{quality = 1; price = 30000;};</v>
      </c>
      <c r="E965" t="str">
        <f>IFERROR(__xludf.DUMMYFUNCTION("if(ISBLANK(A965),, if('RHS INPUT'!E965=1,CONCATENATE(CHAR(34),To_Text('RHS INPUT'!C965),CHAR(34),CHAR(44)),""""))"),"")</f>
        <v/>
      </c>
      <c r="F965" s="28" t="str">
        <f>IF(isblank(A965) ,Concatenate("&gt; ",'RHS INPUT'!A965) , if('RHS INPUT'!F965=1,CONCATENATE(round('RHS INPUT'!N965),Char(44)," ",'RHS INPUT'!C965),""))</f>
        <v/>
      </c>
    </row>
    <row r="966" ht="12.0" customHeight="1">
      <c r="A966" s="1" t="str">
        <f>IFERROR(__xludf.DUMMYFUNCTION("if(ISBLANK('RHS INPUT'!C966),,CONCATENATE(CHAR(34),To_Text('RHS INPUT'!C966),CHAR(34),CHAR(44)))"),"""Exile_Chopper_Taru_Transport_Black"",")</f>
        <v>"Exile_Chopper_Taru_Transport_Black",</v>
      </c>
      <c r="B966" s="18" t="str">
        <f>if(isblank('RHS INPUT'!A966),,CONCATENATE("/*  ",'RHS INPUT'!A966,"  */"))</f>
        <v/>
      </c>
      <c r="C966" s="22" t="str">
        <f>if(isblank(A966),,if('RHS INPUT'!D966=1,Concatenate("class ",'RHS INPUT'!C966),))</f>
        <v>class Exile_Chopper_Taru_Transport_Black</v>
      </c>
      <c r="D966" s="27" t="str">
        <f>if(ISBLANK(A966),,if('RHS INPUT'!D966=1,CONCATENATE("{quality = ",'RHS INPUT'!G966,"; price = ",Round('RHS INPUT'!M966),";};"),""))</f>
        <v>{quality = 1; price = 30000;};</v>
      </c>
      <c r="E966" t="str">
        <f>IFERROR(__xludf.DUMMYFUNCTION("if(ISBLANK(A966),, if('RHS INPUT'!E966=1,CONCATENATE(CHAR(34),To_Text('RHS INPUT'!C966),CHAR(34),CHAR(44)),""""))"),"""Exile_Chopper_Taru_Transport_Black"",")</f>
        <v>"Exile_Chopper_Taru_Transport_Black",</v>
      </c>
      <c r="F966" s="28" t="str">
        <f>IF(isblank(A966) ,Concatenate("&gt; ",'RHS INPUT'!A966) , if('RHS INPUT'!F966=1,CONCATENATE(round('RHS INPUT'!N966),Char(44)," ",'RHS INPUT'!C966),""))</f>
        <v/>
      </c>
    </row>
    <row r="967" ht="12.0" customHeight="1">
      <c r="A967" s="1" t="str">
        <f>IFERROR(__xludf.DUMMYFUNCTION("if(ISBLANK('RHS INPUT'!C967),,CONCATENATE(CHAR(34),To_Text('RHS INPUT'!C967),CHAR(34),CHAR(44)))"),"""Exile_Chopper_Taru_Black"",")</f>
        <v>"Exile_Chopper_Taru_Black",</v>
      </c>
      <c r="B967" s="18" t="str">
        <f>if(isblank('RHS INPUT'!A967),,CONCATENATE("/*  ",'RHS INPUT'!A967,"  */"))</f>
        <v/>
      </c>
      <c r="C967" s="22" t="str">
        <f>if(isblank(A967),,if('RHS INPUT'!D967=1,Concatenate("class ",'RHS INPUT'!C967),))</f>
        <v>class Exile_Chopper_Taru_Black</v>
      </c>
      <c r="D967" s="27" t="str">
        <f>if(ISBLANK(A967),,if('RHS INPUT'!D967=1,CONCATENATE("{quality = ",'RHS INPUT'!G967,"; price = ",Round('RHS INPUT'!M967),";};"),""))</f>
        <v>{quality = 1; price = 35000;};</v>
      </c>
      <c r="E967" t="str">
        <f>IFERROR(__xludf.DUMMYFUNCTION("if(ISBLANK(A967),, if('RHS INPUT'!E967=1,CONCATENATE(CHAR(34),To_Text('RHS INPUT'!C967),CHAR(34),CHAR(44)),""""))"),"""Exile_Chopper_Taru_Black"",")</f>
        <v>"Exile_Chopper_Taru_Black",</v>
      </c>
      <c r="F967" s="28" t="str">
        <f>IF(isblank(A967) ,Concatenate("&gt; ",'RHS INPUT'!A967) , if('RHS INPUT'!F967=1,CONCATENATE(round('RHS INPUT'!N967),Char(44)," ",'RHS INPUT'!C967),""))</f>
        <v/>
      </c>
    </row>
    <row r="968" ht="12.0" customHeight="1">
      <c r="A968" s="1" t="str">
        <f>IFERROR(__xludf.DUMMYFUNCTION("if(ISBLANK('RHS INPUT'!C968),,CONCATENATE(CHAR(34),To_Text('RHS INPUT'!C968),CHAR(34),CHAR(44)))"),"""Exile_Chopper_Taru_CSAT"",")</f>
        <v>"Exile_Chopper_Taru_CSAT",</v>
      </c>
      <c r="B968" s="18" t="str">
        <f>if(isblank('RHS INPUT'!A968),,CONCATENATE("/*  ",'RHS INPUT'!A968,"  */"))</f>
        <v/>
      </c>
      <c r="C968" s="22" t="str">
        <f>if(isblank(A968),,if('RHS INPUT'!D968=1,Concatenate("class ",'RHS INPUT'!C968),))</f>
        <v>class Exile_Chopper_Taru_CSAT</v>
      </c>
      <c r="D968" s="27" t="str">
        <f>if(ISBLANK(A968),,if('RHS INPUT'!D968=1,CONCATENATE("{quality = ",'RHS INPUT'!G968,"; price = ",Round('RHS INPUT'!M968),";};"),""))</f>
        <v>{quality = 1; price = 35000;};</v>
      </c>
      <c r="E968" t="str">
        <f>IFERROR(__xludf.DUMMYFUNCTION("if(ISBLANK(A968),, if('RHS INPUT'!E968=1,CONCATENATE(CHAR(34),To_Text('RHS INPUT'!C968),CHAR(34),CHAR(44)),""""))"),"")</f>
        <v/>
      </c>
      <c r="F968" s="28" t="str">
        <f>IF(isblank(A968) ,Concatenate("&gt; ",'RHS INPUT'!A968) , if('RHS INPUT'!F968=1,CONCATENATE(round('RHS INPUT'!N968),Char(44)," ",'RHS INPUT'!C968),""))</f>
        <v/>
      </c>
    </row>
    <row r="969" ht="12.0" customHeight="1">
      <c r="A969" s="1" t="str">
        <f>IFERROR(__xludf.DUMMYFUNCTION("if(ISBLANK('RHS INPUT'!C969),,CONCATENATE(CHAR(34),To_Text('RHS INPUT'!C969),CHAR(34),CHAR(44)))"),"""Exile_Chopper_Taru_Covered_Black"",")</f>
        <v>"Exile_Chopper_Taru_Covered_Black",</v>
      </c>
      <c r="B969" s="18" t="str">
        <f>if(isblank('RHS INPUT'!A969),,CONCATENATE("/*  ",'RHS INPUT'!A969,"  */"))</f>
        <v/>
      </c>
      <c r="C969" s="22" t="str">
        <f>if(isblank(A969),,if('RHS INPUT'!D969=1,Concatenate("class ",'RHS INPUT'!C969),))</f>
        <v>class Exile_Chopper_Taru_Covered_Black</v>
      </c>
      <c r="D969" s="27" t="str">
        <f>if(ISBLANK(A969),,if('RHS INPUT'!D969=1,CONCATENATE("{quality = ",'RHS INPUT'!G969,"; price = ",Round('RHS INPUT'!M969),";};"),""))</f>
        <v>{quality = 1; price = 38000;};</v>
      </c>
      <c r="E969" t="str">
        <f>IFERROR(__xludf.DUMMYFUNCTION("if(ISBLANK(A969),, if('RHS INPUT'!E969=1,CONCATENATE(CHAR(34),To_Text('RHS INPUT'!C969),CHAR(34),CHAR(44)),""""))"),"""Exile_Chopper_Taru_Covered_Black"",")</f>
        <v>"Exile_Chopper_Taru_Covered_Black",</v>
      </c>
      <c r="F969" s="28" t="str">
        <f>IF(isblank(A969) ,Concatenate("&gt; ",'RHS INPUT'!A969) , if('RHS INPUT'!F969=1,CONCATENATE(round('RHS INPUT'!N969),Char(44)," ",'RHS INPUT'!C969),""))</f>
        <v/>
      </c>
    </row>
    <row r="970" ht="12.0" customHeight="1">
      <c r="A970" s="1" t="str">
        <f>IFERROR(__xludf.DUMMYFUNCTION("if(ISBLANK('RHS INPUT'!C970),,CONCATENATE(CHAR(34),To_Text('RHS INPUT'!C970),CHAR(34),CHAR(44)))"),"""Exile_Chopper_Taru_Covered_CSAT"",")</f>
        <v>"Exile_Chopper_Taru_Covered_CSAT",</v>
      </c>
      <c r="B970" s="18" t="str">
        <f>if(isblank('RHS INPUT'!A970),,CONCATENATE("/*  ",'RHS INPUT'!A970,"  */"))</f>
        <v/>
      </c>
      <c r="C970" s="22" t="str">
        <f>if(isblank(A970),,if('RHS INPUT'!D970=1,Concatenate("class ",'RHS INPUT'!C970),))</f>
        <v>class Exile_Chopper_Taru_Covered_CSAT</v>
      </c>
      <c r="D970" s="27" t="str">
        <f>if(ISBLANK(A970),,if('RHS INPUT'!D970=1,CONCATENATE("{quality = ",'RHS INPUT'!G970,"; price = ",Round('RHS INPUT'!M970),";};"),""))</f>
        <v>{quality = 1; price = 38000;};</v>
      </c>
      <c r="E970" t="str">
        <f>IFERROR(__xludf.DUMMYFUNCTION("if(ISBLANK(A970),, if('RHS INPUT'!E970=1,CONCATENATE(CHAR(34),To_Text('RHS INPUT'!C970),CHAR(34),CHAR(44)),""""))"),"")</f>
        <v/>
      </c>
      <c r="F970" s="28" t="str">
        <f>IF(isblank(A970) ,Concatenate("&gt; ",'RHS INPUT'!A970) , if('RHS INPUT'!F970=1,CONCATENATE(round('RHS INPUT'!N970),Char(44)," ",'RHS INPUT'!C970),""))</f>
        <v/>
      </c>
    </row>
    <row r="971" ht="12.0" customHeight="1">
      <c r="A971" s="1" t="str">
        <f>IFERROR(__xludf.DUMMYFUNCTION("if(ISBLANK('RHS INPUT'!C971),,CONCATENATE(CHAR(34),To_Text('RHS INPUT'!C971),CHAR(34),CHAR(44)))"),"""Exile_Chopper_Mohawk_FIA"",")</f>
        <v>"Exile_Chopper_Mohawk_FIA",</v>
      </c>
      <c r="B971" s="18" t="str">
        <f>if(isblank('RHS INPUT'!A971),,CONCATENATE("/*  ",'RHS INPUT'!A971,"  */"))</f>
        <v/>
      </c>
      <c r="C971" s="22" t="str">
        <f>if(isblank(A971),,if('RHS INPUT'!D971=1,Concatenate("class ",'RHS INPUT'!C971),))</f>
        <v>class Exile_Chopper_Mohawk_FIA</v>
      </c>
      <c r="D971" s="27" t="str">
        <f>if(ISBLANK(A971),,if('RHS INPUT'!D971=1,CONCATENATE("{quality = ",'RHS INPUT'!G971,"; price = ",Round('RHS INPUT'!M971),";};"),""))</f>
        <v>{quality = 1; price = 45000;};</v>
      </c>
      <c r="E971" t="str">
        <f>IFERROR(__xludf.DUMMYFUNCTION("if(ISBLANK(A971),, if('RHS INPUT'!E971=1,CONCATENATE(CHAR(34),To_Text('RHS INPUT'!C971),CHAR(34),CHAR(44)),""""))"),"""Exile_Chopper_Mohawk_FIA"",")</f>
        <v>"Exile_Chopper_Mohawk_FIA",</v>
      </c>
      <c r="F971" s="28" t="str">
        <f>IF(isblank(A971) ,Concatenate("&gt; ",'RHS INPUT'!A971) , if('RHS INPUT'!F971=1,CONCATENATE(round('RHS INPUT'!N971),Char(44)," ",'RHS INPUT'!C971),""))</f>
        <v/>
      </c>
    </row>
    <row r="972" ht="12.0" customHeight="1">
      <c r="A972" s="1" t="str">
        <f>IFERROR(__xludf.DUMMYFUNCTION("if(ISBLANK('RHS INPUT'!C972),,CONCATENATE(CHAR(34),To_Text('RHS INPUT'!C972),CHAR(34),CHAR(44)))"),"""Exile_Chopper_Huron_Black"",")</f>
        <v>"Exile_Chopper_Huron_Black",</v>
      </c>
      <c r="B972" s="18" t="str">
        <f>if(isblank('RHS INPUT'!A972),,CONCATENATE("/*  ",'RHS INPUT'!A972,"  */"))</f>
        <v/>
      </c>
      <c r="C972" s="22" t="str">
        <f>if(isblank(A972),,if('RHS INPUT'!D972=1,Concatenate("class ",'RHS INPUT'!C972),))</f>
        <v>class Exile_Chopper_Huron_Black</v>
      </c>
      <c r="D972" s="27" t="str">
        <f>if(ISBLANK(A972),,if('RHS INPUT'!D972=1,CONCATENATE("{quality = ",'RHS INPUT'!G972,"; price = ",Round('RHS INPUT'!M972),";};"),""))</f>
        <v>{quality = 1; price = 50000;};</v>
      </c>
      <c r="E972" t="str">
        <f>IFERROR(__xludf.DUMMYFUNCTION("if(ISBLANK(A972),, if('RHS INPUT'!E972=1,CONCATENATE(CHAR(34),To_Text('RHS INPUT'!C972),CHAR(34),CHAR(44)),""""))"),"""Exile_Chopper_Huron_Black"",")</f>
        <v>"Exile_Chopper_Huron_Black",</v>
      </c>
      <c r="F972" s="28" t="str">
        <f>IF(isblank(A972) ,Concatenate("&gt; ",'RHS INPUT'!A972) , if('RHS INPUT'!F972=1,CONCATENATE(round('RHS INPUT'!N972),Char(44)," ",'RHS INPUT'!C972),""))</f>
        <v/>
      </c>
    </row>
    <row r="973" ht="12.0" customHeight="1">
      <c r="A973" s="1" t="str">
        <f>IFERROR(__xludf.DUMMYFUNCTION("if(ISBLANK('RHS INPUT'!C973),,CONCATENATE(CHAR(34),To_Text('RHS INPUT'!C973),CHAR(34),CHAR(44)))"),"""Exile_Chopper_Huron_Green"",")</f>
        <v>"Exile_Chopper_Huron_Green",</v>
      </c>
      <c r="B973" s="18" t="str">
        <f>if(isblank('RHS INPUT'!A973),,CONCATENATE("/*  ",'RHS INPUT'!A973,"  */"))</f>
        <v/>
      </c>
      <c r="C973" s="22" t="str">
        <f>if(isblank(A973),,if('RHS INPUT'!D973=1,Concatenate("class ",'RHS INPUT'!C973),))</f>
        <v>class Exile_Chopper_Huron_Green</v>
      </c>
      <c r="D973" s="27" t="str">
        <f>if(ISBLANK(A973),,if('RHS INPUT'!D973=1,CONCATENATE("{quality = ",'RHS INPUT'!G973,"; price = ",Round('RHS INPUT'!M973),";};"),""))</f>
        <v>{quality = 1; price = 50000;};</v>
      </c>
      <c r="E973" t="str">
        <f>IFERROR(__xludf.DUMMYFUNCTION("if(ISBLANK(A973),, if('RHS INPUT'!E973=1,CONCATENATE(CHAR(34),To_Text('RHS INPUT'!C973),CHAR(34),CHAR(44)),""""))"),"")</f>
        <v/>
      </c>
      <c r="F973" s="28" t="str">
        <f>IF(isblank(A973) ,Concatenate("&gt; ",'RHS INPUT'!A973) , if('RHS INPUT'!F973=1,CONCATENATE(round('RHS INPUT'!N973),Char(44)," ",'RHS INPUT'!C973),""))</f>
        <v/>
      </c>
    </row>
    <row r="974" ht="12.0" customHeight="1">
      <c r="A974" s="1" t="str">
        <f>IFERROR(__xludf.DUMMYFUNCTION("if(ISBLANK('RHS INPUT'!C974),,CONCATENATE(CHAR(34),To_Text('RHS INPUT'!C974),CHAR(34),CHAR(44)))"),"""RHS_UH1Y_UNARMED"",")</f>
        <v>"RHS_UH1Y_UNARMED",</v>
      </c>
      <c r="B974" s="18" t="str">
        <f>if(isblank('RHS INPUT'!A974),,CONCATENATE("/*  ",'RHS INPUT'!A974,"  */"))</f>
        <v/>
      </c>
      <c r="C974" s="22" t="str">
        <f>if(isblank(A974),,if('RHS INPUT'!D974=1,Concatenate("class ",'RHS INPUT'!C974),))</f>
        <v>class RHS_UH1Y_UNARMED</v>
      </c>
      <c r="D974" s="27" t="str">
        <f>if(ISBLANK(A974),,if('RHS INPUT'!D974=1,CONCATENATE("{quality = ",'RHS INPUT'!G974,"; price = ",Round('RHS INPUT'!M974),";};"),""))</f>
        <v>{quality = 1; price = 26000;};</v>
      </c>
      <c r="E974" t="str">
        <f>IFERROR(__xludf.DUMMYFUNCTION("if(ISBLANK(A974),, if('RHS INPUT'!E974=1,CONCATENATE(CHAR(34),To_Text('RHS INPUT'!C974),CHAR(34),CHAR(44)),""""))"),"""RHS_UH1Y_UNARMED"",")</f>
        <v>"RHS_UH1Y_UNARMED",</v>
      </c>
      <c r="F974" s="28" t="str">
        <f>IF(isblank(A974) ,Concatenate("&gt; ",'RHS INPUT'!A974) , if('RHS INPUT'!F974=1,CONCATENATE(round('RHS INPUT'!N974),Char(44)," ",'RHS INPUT'!C974),""))</f>
        <v/>
      </c>
    </row>
    <row r="975" ht="12.0" customHeight="1">
      <c r="A975" s="1" t="str">
        <f>IFERROR(__xludf.DUMMYFUNCTION("if(ISBLANK('RHS INPUT'!C975),,CONCATENATE(CHAR(34),To_Text('RHS INPUT'!C975),CHAR(34),CHAR(44)))"),"""RHS_Mi8amt_civilian"",")</f>
        <v>"RHS_Mi8amt_civilian",</v>
      </c>
      <c r="B975" s="18" t="str">
        <f>if(isblank('RHS INPUT'!A975),,CONCATENATE("/*  ",'RHS INPUT'!A975,"  */"))</f>
        <v/>
      </c>
      <c r="C975" s="22" t="str">
        <f>if(isblank(A975),,if('RHS INPUT'!D975=1,Concatenate("class ",'RHS INPUT'!C975),))</f>
        <v>class RHS_Mi8amt_civilian</v>
      </c>
      <c r="D975" s="27" t="str">
        <f>if(ISBLANK(A975),,if('RHS INPUT'!D975=1,CONCATENATE("{quality = ",'RHS INPUT'!G975,"; price = ",Round('RHS INPUT'!M975),";};"),""))</f>
        <v>{quality = 1; price = 30000;};</v>
      </c>
      <c r="E975" t="str">
        <f>IFERROR(__xludf.DUMMYFUNCTION("if(ISBLANK(A975),, if('RHS INPUT'!E975=1,CONCATENATE(CHAR(34),To_Text('RHS INPUT'!C975),CHAR(34),CHAR(44)),""""))"),"""RHS_Mi8amt_civilian"",")</f>
        <v>"RHS_Mi8amt_civilian",</v>
      </c>
      <c r="F975" s="28" t="str">
        <f>IF(isblank(A975) ,Concatenate("&gt; ",'RHS INPUT'!A975) , if('RHS INPUT'!F975=1,CONCATENATE(round('RHS INPUT'!N975),Char(44)," ",'RHS INPUT'!C975),""))</f>
        <v/>
      </c>
    </row>
    <row r="976" ht="12.0" customHeight="1">
      <c r="A976" s="1" t="str">
        <f>IFERROR(__xludf.DUMMYFUNCTION("if(ISBLANK('RHS INPUT'!C976),,CONCATENATE(CHAR(34),To_Text('RHS INPUT'!C976),CHAR(34),CHAR(44)))"),"""RHS_Mi8amt_chdkz"",")</f>
        <v>"RHS_Mi8amt_chdkz",</v>
      </c>
      <c r="B976" s="18" t="str">
        <f>if(isblank('RHS INPUT'!A976),,CONCATENATE("/*  ",'RHS INPUT'!A976,"  */"))</f>
        <v/>
      </c>
      <c r="C976" s="22" t="str">
        <f>if(isblank(A976),,if('RHS INPUT'!D976=1,Concatenate("class ",'RHS INPUT'!C976),))</f>
        <v>class RHS_Mi8amt_chdkz</v>
      </c>
      <c r="D976" s="27" t="str">
        <f>if(ISBLANK(A976),,if('RHS INPUT'!D976=1,CONCATENATE("{quality = ",'RHS INPUT'!G976,"; price = ",Round('RHS INPUT'!M976),";};"),""))</f>
        <v>{quality = 1; price = 30000;};</v>
      </c>
      <c r="E976" t="str">
        <f>IFERROR(__xludf.DUMMYFUNCTION("if(ISBLANK(A976),, if('RHS INPUT'!E976=1,CONCATENATE(CHAR(34),To_Text('RHS INPUT'!C976),CHAR(34),CHAR(44)),""""))"),"""RHS_Mi8amt_chdkz"",")</f>
        <v>"RHS_Mi8amt_chdkz",</v>
      </c>
      <c r="F976" s="28" t="str">
        <f>IF(isblank(A976) ,Concatenate("&gt; ",'RHS INPUT'!A976) , if('RHS INPUT'!F976=1,CONCATENATE(round('RHS INPUT'!N976),Char(44)," ",'RHS INPUT'!C976),""))</f>
        <v/>
      </c>
    </row>
    <row r="977" ht="12.0" customHeight="1">
      <c r="A977" s="1" t="str">
        <f>IFERROR(__xludf.DUMMYFUNCTION("if(ISBLANK('RHS INPUT'!C977),,CONCATENATE(CHAR(34),To_Text('RHS INPUT'!C977),CHAR(34),CHAR(44)))"),"""RHS_Mi8AMT_vdv"",")</f>
        <v>"RHS_Mi8AMT_vdv",</v>
      </c>
      <c r="B977" s="18" t="str">
        <f>if(isblank('RHS INPUT'!A977),,CONCATENATE("/*  ",'RHS INPUT'!A977,"  */"))</f>
        <v/>
      </c>
      <c r="C977" s="22" t="str">
        <f>if(isblank(A977),,if('RHS INPUT'!D977=1,Concatenate("class ",'RHS INPUT'!C977),))</f>
        <v>class RHS_Mi8AMT_vdv</v>
      </c>
      <c r="D977" s="27" t="str">
        <f>if(ISBLANK(A977),,if('RHS INPUT'!D977=1,CONCATENATE("{quality = ",'RHS INPUT'!G977,"; price = ",Round('RHS INPUT'!M977),";};"),""))</f>
        <v>{quality = 1; price = 30000;};</v>
      </c>
      <c r="E977" t="str">
        <f>IFERROR(__xludf.DUMMYFUNCTION("if(ISBLANK(A977),, if('RHS INPUT'!E977=1,CONCATENATE(CHAR(34),To_Text('RHS INPUT'!C977),CHAR(34),CHAR(44)),""""))"),"""RHS_Mi8AMT_vdv"",")</f>
        <v>"RHS_Mi8AMT_vdv",</v>
      </c>
      <c r="F977" s="28" t="str">
        <f>IF(isblank(A977) ,Concatenate("&gt; ",'RHS INPUT'!A977) , if('RHS INPUT'!F977=1,CONCATENATE(round('RHS INPUT'!N977),Char(44)," ",'RHS INPUT'!C977),""))</f>
        <v/>
      </c>
    </row>
    <row r="978" ht="12.0" customHeight="1">
      <c r="A978" s="1" t="str">
        <f>IFERROR(__xludf.DUMMYFUNCTION("if(ISBLANK('RHS INPUT'!C978),,CONCATENATE(CHAR(34),To_Text('RHS INPUT'!C978),CHAR(34),CHAR(44)))"),"""RHS_Mi8AMT_vvsc"",")</f>
        <v>"RHS_Mi8AMT_vvsc",</v>
      </c>
      <c r="B978" s="18" t="str">
        <f>if(isblank('RHS INPUT'!A978),,CONCATENATE("/*  ",'RHS INPUT'!A978,"  */"))</f>
        <v/>
      </c>
      <c r="C978" s="22" t="str">
        <f>if(isblank(A978),,if('RHS INPUT'!D978=1,Concatenate("class ",'RHS INPUT'!C978),))</f>
        <v>class RHS_Mi8AMT_vvsc</v>
      </c>
      <c r="D978" s="27" t="str">
        <f>if(ISBLANK(A978),,if('RHS INPUT'!D978=1,CONCATENATE("{quality = ",'RHS INPUT'!G978,"; price = ",Round('RHS INPUT'!M978),";};"),""))</f>
        <v>{quality = 1; price = 30000;};</v>
      </c>
      <c r="E978" t="str">
        <f>IFERROR(__xludf.DUMMYFUNCTION("if(ISBLANK(A978),, if('RHS INPUT'!E978=1,CONCATENATE(CHAR(34),To_Text('RHS INPUT'!C978),CHAR(34),CHAR(44)),""""))"),"""RHS_Mi8AMT_vvsc"",")</f>
        <v>"RHS_Mi8AMT_vvsc",</v>
      </c>
      <c r="F978" s="28" t="str">
        <f>IF(isblank(A978) ,Concatenate("&gt; ",'RHS INPUT'!A978) , if('RHS INPUT'!F978=1,CONCATENATE(round('RHS INPUT'!N978),Char(44)," ",'RHS INPUT'!C978),""))</f>
        <v/>
      </c>
    </row>
    <row r="979" ht="12.0" customHeight="1">
      <c r="A979" s="1" t="str">
        <f>IFERROR(__xludf.DUMMYFUNCTION("if(ISBLANK('RHS INPUT'!C979),,CONCATENATE(CHAR(34),To_Text('RHS INPUT'!C979),CHAR(34),CHAR(44)))"),"""RHS_UH60M_MEV2"",")</f>
        <v>"RHS_UH60M_MEV2",</v>
      </c>
      <c r="B979" s="18" t="str">
        <f>if(isblank('RHS INPUT'!A979),,CONCATENATE("/*  ",'RHS INPUT'!A979,"  */"))</f>
        <v/>
      </c>
      <c r="C979" s="22" t="str">
        <f>if(isblank(A979),,if('RHS INPUT'!D979=1,Concatenate("class ",'RHS INPUT'!C979),))</f>
        <v>class RHS_UH60M_MEV2</v>
      </c>
      <c r="D979" s="27" t="str">
        <f>if(ISBLANK(A979),,if('RHS INPUT'!D979=1,CONCATENATE("{quality = ",'RHS INPUT'!G979,"; price = ",Round('RHS INPUT'!M979),";};"),""))</f>
        <v>{quality = 1; price = 32000;};</v>
      </c>
      <c r="E979" t="str">
        <f>IFERROR(__xludf.DUMMYFUNCTION("if(ISBLANK(A979),, if('RHS INPUT'!E979=1,CONCATENATE(CHAR(34),To_Text('RHS INPUT'!C979),CHAR(34),CHAR(44)),""""))"),"""RHS_UH60M_MEV2"",")</f>
        <v>"RHS_UH60M_MEV2",</v>
      </c>
      <c r="F979" s="28" t="str">
        <f>IF(isblank(A979) ,Concatenate("&gt; ",'RHS INPUT'!A979) , if('RHS INPUT'!F979=1,CONCATENATE(round('RHS INPUT'!N979),Char(44)," ",'RHS INPUT'!C979),""))</f>
        <v/>
      </c>
    </row>
    <row r="980" ht="12.0" customHeight="1">
      <c r="A980" s="1" t="str">
        <f>IFERROR(__xludf.DUMMYFUNCTION("if(ISBLANK('RHS INPUT'!C980),,CONCATENATE(CHAR(34),To_Text('RHS INPUT'!C980),CHAR(34),CHAR(44)))"),"""RHS_UH60M_MEV"",")</f>
        <v>"RHS_UH60M_MEV",</v>
      </c>
      <c r="B980" s="18" t="str">
        <f>if(isblank('RHS INPUT'!A980),,CONCATENATE("/*  ",'RHS INPUT'!A980,"  */"))</f>
        <v/>
      </c>
      <c r="C980" s="22" t="str">
        <f>if(isblank(A980),,if('RHS INPUT'!D980=1,Concatenate("class ",'RHS INPUT'!C980),))</f>
        <v>class RHS_UH60M_MEV</v>
      </c>
      <c r="D980" s="27" t="str">
        <f>if(ISBLANK(A980),,if('RHS INPUT'!D980=1,CONCATENATE("{quality = ",'RHS INPUT'!G980,"; price = ",Round('RHS INPUT'!M980),";};"),""))</f>
        <v>{quality = 1; price = 32000;};</v>
      </c>
      <c r="E980" t="str">
        <f>IFERROR(__xludf.DUMMYFUNCTION("if(ISBLANK(A980),, if('RHS INPUT'!E980=1,CONCATENATE(CHAR(34),To_Text('RHS INPUT'!C980),CHAR(34),CHAR(44)),""""))"),"""RHS_UH60M_MEV"",")</f>
        <v>"RHS_UH60M_MEV",</v>
      </c>
      <c r="F980" s="28" t="str">
        <f>IF(isblank(A980) ,Concatenate("&gt; ",'RHS INPUT'!A980) , if('RHS INPUT'!F980=1,CONCATENATE(round('RHS INPUT'!N980),Char(44)," ",'RHS INPUT'!C980),""))</f>
        <v/>
      </c>
    </row>
    <row r="981" ht="12.0" customHeight="1">
      <c r="A981" s="1" t="str">
        <f>IFERROR(__xludf.DUMMYFUNCTION("if(ISBLANK('RHS INPUT'!C981),,CONCATENATE(CHAR(34),To_Text('RHS INPUT'!C981),CHAR(34),CHAR(44)))"),"")</f>
        <v/>
      </c>
      <c r="B981" s="18" t="str">
        <f>if(isblank('RHS INPUT'!A981),,CONCATENATE("/*  ",'RHS INPUT'!A981,"  */"))</f>
        <v>/*  PLANES  */</v>
      </c>
      <c r="C981" s="22" t="str">
        <f>if(isblank(A981),,if('RHS INPUT'!D981=1,Concatenate("class ",'RHS INPUT'!C981),))</f>
        <v/>
      </c>
      <c r="D981" s="27" t="str">
        <f>if(ISBLANK(A981),,if('RHS INPUT'!D981=1,CONCATENATE("{quality = ",'RHS INPUT'!G981,"; price = ",Round('RHS INPUT'!M981),";};"),""))</f>
        <v/>
      </c>
      <c r="E981" t="str">
        <f>IFERROR(__xludf.DUMMYFUNCTION("if(ISBLANK(A981),, if('RHS INPUT'!E981=1,CONCATENATE(CHAR(34),To_Text('RHS INPUT'!C981),CHAR(34),CHAR(44)),""""))"),"")</f>
        <v/>
      </c>
      <c r="F981" s="28" t="str">
        <f>IF(isblank(A981) ,Concatenate("&gt; ",'RHS INPUT'!A981) , if('RHS INPUT'!F981=1,CONCATENATE(round('RHS INPUT'!N981),Char(44)," ",'RHS INPUT'!C981),""))</f>
        <v>&gt; PLANES</v>
      </c>
    </row>
    <row r="982" ht="12.0" customHeight="1">
      <c r="A982" s="1" t="str">
        <f>IFERROR(__xludf.DUMMYFUNCTION("if(ISBLANK('RHS INPUT'!C982),,CONCATENATE(CHAR(34),To_Text('RHS INPUT'!C982),CHAR(34),CHAR(44)))"),"""Exile_Plane_Cessna"",")</f>
        <v>"Exile_Plane_Cessna",</v>
      </c>
      <c r="B982" s="18" t="str">
        <f>if(isblank('RHS INPUT'!A982),,CONCATENATE("/*  ",'RHS INPUT'!A982,"  */"))</f>
        <v/>
      </c>
      <c r="C982" s="22" t="str">
        <f>if(isblank(A982),,if('RHS INPUT'!D982=1,Concatenate("class ",'RHS INPUT'!C982),))</f>
        <v>class Exile_Plane_Cessna</v>
      </c>
      <c r="D982" s="27" t="str">
        <f>if(ISBLANK(A982),,if('RHS INPUT'!D982=1,CONCATENATE("{quality = ",'RHS INPUT'!G982,"; price = ",Round('RHS INPUT'!M982),";};"),""))</f>
        <v>{quality = 1; price = 10000;};</v>
      </c>
      <c r="E982" t="str">
        <f>IFERROR(__xludf.DUMMYFUNCTION("if(ISBLANK(A982),, if('RHS INPUT'!E982=1,CONCATENATE(CHAR(34),To_Text('RHS INPUT'!C982),CHAR(34),CHAR(44)),""""))"),"""Exile_Plane_Cessna"",")</f>
        <v>"Exile_Plane_Cessna",</v>
      </c>
      <c r="F982" s="28" t="str">
        <f>IF(isblank(A982) ,Concatenate("&gt; ",'RHS INPUT'!A982) , if('RHS INPUT'!F982=1,CONCATENATE(round('RHS INPUT'!N982),Char(44)," ",'RHS INPUT'!C982),""))</f>
        <v/>
      </c>
    </row>
    <row r="983" ht="12.0" customHeight="1">
      <c r="A983" s="1" t="str">
        <f>IFERROR(__xludf.DUMMYFUNCTION("if(ISBLANK('RHS INPUT'!C983),,CONCATENATE(CHAR(34),To_Text('RHS INPUT'!C983),CHAR(34),CHAR(44)))"),"""GNT_C185F"",")</f>
        <v>"GNT_C185F",</v>
      </c>
      <c r="B983" s="18" t="str">
        <f>if(isblank('RHS INPUT'!A983),,CONCATENATE("/*  ",'RHS INPUT'!A983,"  */"))</f>
        <v/>
      </c>
      <c r="C983" s="22" t="str">
        <f>if(isblank(A983),,if('RHS INPUT'!D983=1,Concatenate("class ",'RHS INPUT'!C983),))</f>
        <v>class GNT_C185F</v>
      </c>
      <c r="D983" s="27" t="str">
        <f>if(ISBLANK(A983),,if('RHS INPUT'!D983=1,CONCATENATE("{quality = ",'RHS INPUT'!G983,"; price = ",Round('RHS INPUT'!M983),";};"),""))</f>
        <v>{quality = 1; price = 20000;};</v>
      </c>
      <c r="E983" t="str">
        <f>IFERROR(__xludf.DUMMYFUNCTION("if(ISBLANK(A983),, if('RHS INPUT'!E983=1,CONCATENATE(CHAR(34),To_Text('RHS INPUT'!C983),CHAR(34),CHAR(44)),""""))"),"""GNT_C185F"",")</f>
        <v>"GNT_C185F",</v>
      </c>
      <c r="F983" s="28" t="str">
        <f>IF(isblank(A983) ,Concatenate("&gt; ",'RHS INPUT'!A983) , if('RHS INPUT'!F983=1,CONCATENATE(round('RHS INPUT'!N983),Char(44)," ",'RHS INPUT'!C983),""))</f>
        <v/>
      </c>
    </row>
    <row r="984" ht="12.0" customHeight="1">
      <c r="A984" s="1" t="str">
        <f>IFERROR(__xludf.DUMMYFUNCTION("if(ISBLANK('RHS INPUT'!C984),,CONCATENATE(CHAR(34),To_Text('RHS INPUT'!C984),CHAR(34),CHAR(44)))"),"""RHS_C130J"",")</f>
        <v>"RHS_C130J",</v>
      </c>
      <c r="B984" s="18" t="str">
        <f>if(isblank('RHS INPUT'!A984),,CONCATENATE("/*  ",'RHS INPUT'!A984,"  */"))</f>
        <v/>
      </c>
      <c r="C984" s="22" t="str">
        <f>if(isblank(A984),,if('RHS INPUT'!D984=1,Concatenate("class ",'RHS INPUT'!C984),))</f>
        <v>class RHS_C130J</v>
      </c>
      <c r="D984" s="27" t="str">
        <f>if(ISBLANK(A984),,if('RHS INPUT'!D984=1,CONCATENATE("{quality = ",'RHS INPUT'!G984,"; price = ",Round('RHS INPUT'!M984),";};"),""))</f>
        <v>{quality = 1; price = 75000;};</v>
      </c>
      <c r="E984" t="str">
        <f>IFERROR(__xludf.DUMMYFUNCTION("if(ISBLANK(A984),, if('RHS INPUT'!E984=1,CONCATENATE(CHAR(34),To_Text('RHS INPUT'!C984),CHAR(34),CHAR(44)),""""))"),"""RHS_C130J"",")</f>
        <v>"RHS_C130J",</v>
      </c>
      <c r="F984" s="28" t="str">
        <f>IF(isblank(A984) ,Concatenate("&gt; ",'RHS INPUT'!A984) , if('RHS INPUT'!F984=1,CONCATENATE(round('RHS INPUT'!N984),Char(44)," ",'RHS INPUT'!C984),""))</f>
        <v/>
      </c>
    </row>
    <row r="985" ht="12.0" customHeight="1">
      <c r="A985" s="1" t="str">
        <f>IFERROR(__xludf.DUMMYFUNCTION("if(ISBLANK('RHS INPUT'!C985),,CONCATENATE(CHAR(34),To_Text('RHS INPUT'!C985),CHAR(34),CHAR(44)))"),"")</f>
        <v/>
      </c>
      <c r="B985" s="18" t="str">
        <f>if(isblank('RHS INPUT'!A985),,CONCATENATE("/*  ",'RHS INPUT'!A985,"  */"))</f>
        <v>/*  BOATS  */</v>
      </c>
      <c r="C985" s="22" t="str">
        <f>if(isblank(A985),,if('RHS INPUT'!D985=1,Concatenate("class ",'RHS INPUT'!C985),))</f>
        <v/>
      </c>
      <c r="D985" s="27" t="str">
        <f>if(ISBLANK(A985),,if('RHS INPUT'!D985=1,CONCATENATE("{quality = ",'RHS INPUT'!G985,"; price = ",Round('RHS INPUT'!M985),";};"),""))</f>
        <v/>
      </c>
      <c r="E985" t="str">
        <f>IFERROR(__xludf.DUMMYFUNCTION("if(ISBLANK(A985),, if('RHS INPUT'!E985=1,CONCATENATE(CHAR(34),To_Text('RHS INPUT'!C985),CHAR(34),CHAR(44)),""""))"),"")</f>
        <v/>
      </c>
      <c r="F985" s="28" t="str">
        <f>IF(isblank(A985) ,Concatenate("&gt; ",'RHS INPUT'!A985) , if('RHS INPUT'!F985=1,CONCATENATE(round('RHS INPUT'!N985),Char(44)," ",'RHS INPUT'!C985),""))</f>
        <v>&gt; BOATS</v>
      </c>
    </row>
    <row r="986" ht="12.0" customHeight="1">
      <c r="A986" s="1" t="str">
        <f>IFERROR(__xludf.DUMMYFUNCTION("if(ISBLANK('RHS INPUT'!C986),,CONCATENATE(CHAR(34),To_Text('RHS INPUT'!C986),CHAR(34),CHAR(44)))"),"""Exile_Boat_RubberDuck_CSAT"",")</f>
        <v>"Exile_Boat_RubberDuck_CSAT",</v>
      </c>
      <c r="B986" s="18" t="str">
        <f>if(isblank('RHS INPUT'!A986),,CONCATENATE("/*  ",'RHS INPUT'!A986,"  */"))</f>
        <v/>
      </c>
      <c r="C986" s="22" t="str">
        <f>if(isblank(A986),,if('RHS INPUT'!D986=1,Concatenate("class ",'RHS INPUT'!C986),))</f>
        <v>class Exile_Boat_RubberDuck_CSAT</v>
      </c>
      <c r="D986" s="27" t="str">
        <f>if(ISBLANK(A986),,if('RHS INPUT'!D986=1,CONCATENATE("{quality = ",'RHS INPUT'!G986,"; price = ",Round('RHS INPUT'!M986),";};"),""))</f>
        <v>{quality = 1; price = 1000;};</v>
      </c>
      <c r="E986" t="str">
        <f>IFERROR(__xludf.DUMMYFUNCTION("if(ISBLANK(A986),, if('RHS INPUT'!E986=1,CONCATENATE(CHAR(34),To_Text('RHS INPUT'!C986),CHAR(34),CHAR(44)),""""))"),"""Exile_Boat_RubberDuck_CSAT"",")</f>
        <v>"Exile_Boat_RubberDuck_CSAT",</v>
      </c>
      <c r="F986" s="28" t="str">
        <f>IF(isblank(A986) ,Concatenate("&gt; ",'RHS INPUT'!A986) , if('RHS INPUT'!F986=1,CONCATENATE(round('RHS INPUT'!N986),Char(44)," ",'RHS INPUT'!C986),""))</f>
        <v/>
      </c>
    </row>
    <row r="987" ht="12.0" customHeight="1">
      <c r="A987" s="1" t="str">
        <f>IFERROR(__xludf.DUMMYFUNCTION("if(ISBLANK('RHS INPUT'!C987),,CONCATENATE(CHAR(34),To_Text('RHS INPUT'!C987),CHAR(34),CHAR(44)))"),"""Exile_Boat_RubberDuck_Digital"",")</f>
        <v>"Exile_Boat_RubberDuck_Digital",</v>
      </c>
      <c r="B987" s="18" t="str">
        <f>if(isblank('RHS INPUT'!A987),,CONCATENATE("/*  ",'RHS INPUT'!A987,"  */"))</f>
        <v/>
      </c>
      <c r="C987" s="22" t="str">
        <f>if(isblank(A987),,if('RHS INPUT'!D987=1,Concatenate("class ",'RHS INPUT'!C987),))</f>
        <v>class Exile_Boat_RubberDuck_Digital</v>
      </c>
      <c r="D987" s="27" t="str">
        <f>if(ISBLANK(A987),,if('RHS INPUT'!D987=1,CONCATENATE("{quality = ",'RHS INPUT'!G987,"; price = ",Round('RHS INPUT'!M987),";};"),""))</f>
        <v>{quality = 1; price = 1000;};</v>
      </c>
      <c r="E987" t="str">
        <f>IFERROR(__xludf.DUMMYFUNCTION("if(ISBLANK(A987),, if('RHS INPUT'!E987=1,CONCATENATE(CHAR(34),To_Text('RHS INPUT'!C987),CHAR(34),CHAR(44)),""""))"),"""Exile_Boat_RubberDuck_Digital"",")</f>
        <v>"Exile_Boat_RubberDuck_Digital",</v>
      </c>
      <c r="F987" s="28" t="str">
        <f>IF(isblank(A987) ,Concatenate("&gt; ",'RHS INPUT'!A987) , if('RHS INPUT'!F987=1,CONCATENATE(round('RHS INPUT'!N987),Char(44)," ",'RHS INPUT'!C987),""))</f>
        <v/>
      </c>
    </row>
    <row r="988" ht="12.0" customHeight="1">
      <c r="A988" s="1" t="str">
        <f>IFERROR(__xludf.DUMMYFUNCTION("if(ISBLANK('RHS INPUT'!C988),,CONCATENATE(CHAR(34),To_Text('RHS INPUT'!C988),CHAR(34),CHAR(44)))"),"""Exile_Boat_RubberDuck_Orange"",")</f>
        <v>"Exile_Boat_RubberDuck_Orange",</v>
      </c>
      <c r="B988" s="18" t="str">
        <f>if(isblank('RHS INPUT'!A988),,CONCATENATE("/*  ",'RHS INPUT'!A988,"  */"))</f>
        <v/>
      </c>
      <c r="C988" s="22" t="str">
        <f>if(isblank(A988),,if('RHS INPUT'!D988=1,Concatenate("class ",'RHS INPUT'!C988),))</f>
        <v>class Exile_Boat_RubberDuck_Orange</v>
      </c>
      <c r="D988" s="27" t="str">
        <f>if(ISBLANK(A988),,if('RHS INPUT'!D988=1,CONCATENATE("{quality = ",'RHS INPUT'!G988,"; price = ",Round('RHS INPUT'!M988),";};"),""))</f>
        <v>{quality = 1; price = 1000;};</v>
      </c>
      <c r="E988" t="str">
        <f>IFERROR(__xludf.DUMMYFUNCTION("if(ISBLANK(A988),, if('RHS INPUT'!E988=1,CONCATENATE(CHAR(34),To_Text('RHS INPUT'!C988),CHAR(34),CHAR(44)),""""))"),"""Exile_Boat_RubberDuck_Orange"",")</f>
        <v>"Exile_Boat_RubberDuck_Orange",</v>
      </c>
      <c r="F988" s="28" t="str">
        <f>IF(isblank(A988) ,Concatenate("&gt; ",'RHS INPUT'!A988) , if('RHS INPUT'!F988=1,CONCATENATE(round('RHS INPUT'!N988),Char(44)," ",'RHS INPUT'!C988),""))</f>
        <v/>
      </c>
    </row>
    <row r="989" ht="12.0" customHeight="1">
      <c r="A989" s="1" t="str">
        <f>IFERROR(__xludf.DUMMYFUNCTION("if(ISBLANK('RHS INPUT'!C989),,CONCATENATE(CHAR(34),To_Text('RHS INPUT'!C989),CHAR(34),CHAR(44)))"),"""Exile_Boat_RubberDuck_Blue"",")</f>
        <v>"Exile_Boat_RubberDuck_Blue",</v>
      </c>
      <c r="B989" s="18" t="str">
        <f>if(isblank('RHS INPUT'!A989),,CONCATENATE("/*  ",'RHS INPUT'!A989,"  */"))</f>
        <v/>
      </c>
      <c r="C989" s="22" t="str">
        <f>if(isblank(A989),,if('RHS INPUT'!D989=1,Concatenate("class ",'RHS INPUT'!C989),))</f>
        <v>class Exile_Boat_RubberDuck_Blue</v>
      </c>
      <c r="D989" s="27" t="str">
        <f>if(ISBLANK(A989),,if('RHS INPUT'!D989=1,CONCATENATE("{quality = ",'RHS INPUT'!G989,"; price = ",Round('RHS INPUT'!M989),";};"),""))</f>
        <v>{quality = 1; price = 1000;};</v>
      </c>
      <c r="E989" t="str">
        <f>IFERROR(__xludf.DUMMYFUNCTION("if(ISBLANK(A989),, if('RHS INPUT'!E989=1,CONCATENATE(CHAR(34),To_Text('RHS INPUT'!C989),CHAR(34),CHAR(44)),""""))"),"""Exile_Boat_RubberDuck_Blue"",")</f>
        <v>"Exile_Boat_RubberDuck_Blue",</v>
      </c>
      <c r="F989" s="28" t="str">
        <f>IF(isblank(A989) ,Concatenate("&gt; ",'RHS INPUT'!A989) , if('RHS INPUT'!F989=1,CONCATENATE(round('RHS INPUT'!N989),Char(44)," ",'RHS INPUT'!C989),""))</f>
        <v/>
      </c>
    </row>
    <row r="990" ht="12.0" customHeight="1">
      <c r="A990" s="1" t="str">
        <f>IFERROR(__xludf.DUMMYFUNCTION("if(ISBLANK('RHS INPUT'!C990),,CONCATENATE(CHAR(34),To_Text('RHS INPUT'!C990),CHAR(34),CHAR(44)))"),"""Exile_Boat_RubberDuck_Black"",")</f>
        <v>"Exile_Boat_RubberDuck_Black",</v>
      </c>
      <c r="B990" s="18" t="str">
        <f>if(isblank('RHS INPUT'!A990),,CONCATENATE("/*  ",'RHS INPUT'!A990,"  */"))</f>
        <v/>
      </c>
      <c r="C990" s="22" t="str">
        <f>if(isblank(A990),,if('RHS INPUT'!D990=1,Concatenate("class ",'RHS INPUT'!C990),))</f>
        <v>class Exile_Boat_RubberDuck_Black</v>
      </c>
      <c r="D990" s="27" t="str">
        <f>if(ISBLANK(A990),,if('RHS INPUT'!D990=1,CONCATENATE("{quality = ",'RHS INPUT'!G990,"; price = ",Round('RHS INPUT'!M990),";};"),""))</f>
        <v>{quality = 1; price = 1000;};</v>
      </c>
      <c r="E990" t="str">
        <f>IFERROR(__xludf.DUMMYFUNCTION("if(ISBLANK(A990),, if('RHS INPUT'!E990=1,CONCATENATE(CHAR(34),To_Text('RHS INPUT'!C990),CHAR(34),CHAR(44)),""""))"),"""Exile_Boat_RubberDuck_Black"",")</f>
        <v>"Exile_Boat_RubberDuck_Black",</v>
      </c>
      <c r="F990" s="28" t="str">
        <f>IF(isblank(A990) ,Concatenate("&gt; ",'RHS INPUT'!A990) , if('RHS INPUT'!F990=1,CONCATENATE(round('RHS INPUT'!N990),Char(44)," ",'RHS INPUT'!C990),""))</f>
        <v/>
      </c>
    </row>
    <row r="991" ht="12.0" customHeight="1">
      <c r="A991" s="1" t="str">
        <f>IFERROR(__xludf.DUMMYFUNCTION("if(ISBLANK('RHS INPUT'!C991),,CONCATENATE(CHAR(34),To_Text('RHS INPUT'!C991),CHAR(34),CHAR(44)))"),"""Exile_Boat_MotorBoat_Police"",")</f>
        <v>"Exile_Boat_MotorBoat_Police",</v>
      </c>
      <c r="B991" s="18" t="str">
        <f>if(isblank('RHS INPUT'!A991),,CONCATENATE("/*  ",'RHS INPUT'!A991,"  */"))</f>
        <v/>
      </c>
      <c r="C991" s="22" t="str">
        <f>if(isblank(A991),,if('RHS INPUT'!D991=1,Concatenate("class ",'RHS INPUT'!C991),))</f>
        <v>class Exile_Boat_MotorBoat_Police</v>
      </c>
      <c r="D991" s="27" t="str">
        <f>if(ISBLANK(A991),,if('RHS INPUT'!D991=1,CONCATENATE("{quality = ",'RHS INPUT'!G991,"; price = ",Round('RHS INPUT'!M991),";};"),""))</f>
        <v>{quality = 1; price = 4000;};</v>
      </c>
      <c r="E991" t="str">
        <f>IFERROR(__xludf.DUMMYFUNCTION("if(ISBLANK(A991),, if('RHS INPUT'!E991=1,CONCATENATE(CHAR(34),To_Text('RHS INPUT'!C991),CHAR(34),CHAR(44)),""""))"),"""Exile_Boat_MotorBoat_Police"",")</f>
        <v>"Exile_Boat_MotorBoat_Police",</v>
      </c>
      <c r="F991" s="28" t="str">
        <f>IF(isblank(A991) ,Concatenate("&gt; ",'RHS INPUT'!A991) , if('RHS INPUT'!F991=1,CONCATENATE(round('RHS INPUT'!N991),Char(44)," ",'RHS INPUT'!C991),""))</f>
        <v/>
      </c>
    </row>
    <row r="992" ht="12.0" customHeight="1">
      <c r="A992" s="1" t="str">
        <f>IFERROR(__xludf.DUMMYFUNCTION("if(ISBLANK('RHS INPUT'!C992),,CONCATENATE(CHAR(34),To_Text('RHS INPUT'!C992),CHAR(34),CHAR(44)))"),"""Exile_Boat_MotorBoat_Orange"",")</f>
        <v>"Exile_Boat_MotorBoat_Orange",</v>
      </c>
      <c r="B992" s="18" t="str">
        <f>if(isblank('RHS INPUT'!A992),,CONCATENATE("/*  ",'RHS INPUT'!A992,"  */"))</f>
        <v/>
      </c>
      <c r="C992" s="22" t="str">
        <f>if(isblank(A992),,if('RHS INPUT'!D992=1,Concatenate("class ",'RHS INPUT'!C992),))</f>
        <v>class Exile_Boat_MotorBoat_Orange</v>
      </c>
      <c r="D992" s="27" t="str">
        <f>if(ISBLANK(A992),,if('RHS INPUT'!D992=1,CONCATENATE("{quality = ",'RHS INPUT'!G992,"; price = ",Round('RHS INPUT'!M992),";};"),""))</f>
        <v>{quality = 1; price = 4000;};</v>
      </c>
      <c r="E992" t="str">
        <f>IFERROR(__xludf.DUMMYFUNCTION("if(ISBLANK(A992),, if('RHS INPUT'!E992=1,CONCATENATE(CHAR(34),To_Text('RHS INPUT'!C992),CHAR(34),CHAR(44)),""""))"),"""Exile_Boat_MotorBoat_Orange"",")</f>
        <v>"Exile_Boat_MotorBoat_Orange",</v>
      </c>
      <c r="F992" s="28" t="str">
        <f>IF(isblank(A992) ,Concatenate("&gt; ",'RHS INPUT'!A992) , if('RHS INPUT'!F992=1,CONCATENATE(round('RHS INPUT'!N992),Char(44)," ",'RHS INPUT'!C992),""))</f>
        <v/>
      </c>
    </row>
    <row r="993" ht="12.0" customHeight="1">
      <c r="A993" s="1" t="str">
        <f>IFERROR(__xludf.DUMMYFUNCTION("if(ISBLANK('RHS INPUT'!C993),,CONCATENATE(CHAR(34),To_Text('RHS INPUT'!C993),CHAR(34),CHAR(44)))"),"""Exile_Boat_MotorBoat_White"",")</f>
        <v>"Exile_Boat_MotorBoat_White",</v>
      </c>
      <c r="B993" s="18" t="str">
        <f>if(isblank('RHS INPUT'!A993),,CONCATENATE("/*  ",'RHS INPUT'!A993,"  */"))</f>
        <v/>
      </c>
      <c r="C993" s="22" t="str">
        <f>if(isblank(A993),,if('RHS INPUT'!D993=1,Concatenate("class ",'RHS INPUT'!C993),))</f>
        <v>class Exile_Boat_MotorBoat_White</v>
      </c>
      <c r="D993" s="27" t="str">
        <f>if(ISBLANK(A993),,if('RHS INPUT'!D993=1,CONCATENATE("{quality = ",'RHS INPUT'!G993,"; price = ",Round('RHS INPUT'!M993),";};"),""))</f>
        <v>{quality = 1; price = 4000;};</v>
      </c>
      <c r="E993" t="str">
        <f>IFERROR(__xludf.DUMMYFUNCTION("if(ISBLANK(A993),, if('RHS INPUT'!E993=1,CONCATENATE(CHAR(34),To_Text('RHS INPUT'!C993),CHAR(34),CHAR(44)),""""))"),"""Exile_Boat_MotorBoat_White"",")</f>
        <v>"Exile_Boat_MotorBoat_White",</v>
      </c>
      <c r="F993" s="28" t="str">
        <f>IF(isblank(A993) ,Concatenate("&gt; ",'RHS INPUT'!A993) , if('RHS INPUT'!F993=1,CONCATENATE(round('RHS INPUT'!N993),Char(44)," ",'RHS INPUT'!C993),""))</f>
        <v/>
      </c>
    </row>
    <row r="994" ht="12.0" customHeight="1">
      <c r="A994" s="1" t="str">
        <f>IFERROR(__xludf.DUMMYFUNCTION("if(ISBLANK('RHS INPUT'!C994),,CONCATENATE(CHAR(34),To_Text('RHS INPUT'!C994),CHAR(34),CHAR(44)))"),"""Exile_Boat_SDV_CSAT"",")</f>
        <v>"Exile_Boat_SDV_CSAT",</v>
      </c>
      <c r="B994" s="18" t="str">
        <f>if(isblank('RHS INPUT'!A994),,CONCATENATE("/*  ",'RHS INPUT'!A994,"  */"))</f>
        <v/>
      </c>
      <c r="C994" s="22" t="str">
        <f>if(isblank(A994),,if('RHS INPUT'!D994=1,Concatenate("class ",'RHS INPUT'!C994),))</f>
        <v>class Exile_Boat_SDV_CSAT</v>
      </c>
      <c r="D994" s="27" t="str">
        <f>if(ISBLANK(A994),,if('RHS INPUT'!D994=1,CONCATENATE("{quality = ",'RHS INPUT'!G994,"; price = ",Round('RHS INPUT'!M994),";};"),""))</f>
        <v>{quality = 1; price = 10000;};</v>
      </c>
      <c r="E994" t="str">
        <f>IFERROR(__xludf.DUMMYFUNCTION("if(ISBLANK(A994),, if('RHS INPUT'!E994=1,CONCATENATE(CHAR(34),To_Text('RHS INPUT'!C994),CHAR(34),CHAR(44)),""""))"),"""Exile_Boat_SDV_CSAT"",")</f>
        <v>"Exile_Boat_SDV_CSAT",</v>
      </c>
      <c r="F994" s="28" t="str">
        <f>IF(isblank(A994) ,Concatenate("&gt; ",'RHS INPUT'!A994) , if('RHS INPUT'!F994=1,CONCATENATE(round('RHS INPUT'!N994),Char(44)," ",'RHS INPUT'!C994),""))</f>
        <v/>
      </c>
    </row>
    <row r="995" ht="12.0" customHeight="1">
      <c r="A995" s="1" t="str">
        <f>IFERROR(__xludf.DUMMYFUNCTION("if(ISBLANK('RHS INPUT'!C995),,CONCATENATE(CHAR(34),To_Text('RHS INPUT'!C995),CHAR(34),CHAR(44)))"),"""Exile_Boat_SDV_Digital"",")</f>
        <v>"Exile_Boat_SDV_Digital",</v>
      </c>
      <c r="B995" s="18" t="str">
        <f>if(isblank('RHS INPUT'!A995),,CONCATENATE("/*  ",'RHS INPUT'!A995,"  */"))</f>
        <v/>
      </c>
      <c r="C995" s="22" t="str">
        <f>if(isblank(A995),,if('RHS INPUT'!D995=1,Concatenate("class ",'RHS INPUT'!C995),))</f>
        <v>class Exile_Boat_SDV_Digital</v>
      </c>
      <c r="D995" s="27" t="str">
        <f>if(ISBLANK(A995),,if('RHS INPUT'!D995=1,CONCATENATE("{quality = ",'RHS INPUT'!G995,"; price = ",Round('RHS INPUT'!M995),";};"),""))</f>
        <v>{quality = 1; price = 10000;};</v>
      </c>
      <c r="E995" t="str">
        <f>IFERROR(__xludf.DUMMYFUNCTION("if(ISBLANK(A995),, if('RHS INPUT'!E995=1,CONCATENATE(CHAR(34),To_Text('RHS INPUT'!C995),CHAR(34),CHAR(44)),""""))"),"""Exile_Boat_SDV_Digital"",")</f>
        <v>"Exile_Boat_SDV_Digital",</v>
      </c>
      <c r="F995" s="28" t="str">
        <f>IF(isblank(A995) ,Concatenate("&gt; ",'RHS INPUT'!A995) , if('RHS INPUT'!F995=1,CONCATENATE(round('RHS INPUT'!N995),Char(44)," ",'RHS INPUT'!C995),""))</f>
        <v/>
      </c>
    </row>
    <row r="996" ht="12.0" customHeight="1">
      <c r="A996" s="1" t="str">
        <f>IFERROR(__xludf.DUMMYFUNCTION("if(ISBLANK('RHS INPUT'!C996),,CONCATENATE(CHAR(34),To_Text('RHS INPUT'!C996),CHAR(34),CHAR(44)))"),"""Exile_Boat_SDV_Grey"",")</f>
        <v>"Exile_Boat_SDV_Grey",</v>
      </c>
      <c r="B996" s="18" t="str">
        <f>if(isblank('RHS INPUT'!A996),,CONCATENATE("/*  ",'RHS INPUT'!A996,"  */"))</f>
        <v/>
      </c>
      <c r="C996" s="22" t="str">
        <f>if(isblank(A996),,if('RHS INPUT'!D996=1,Concatenate("class ",'RHS INPUT'!C996),))</f>
        <v>class Exile_Boat_SDV_Grey</v>
      </c>
      <c r="D996" s="27" t="str">
        <f>if(ISBLANK(A996),,if('RHS INPUT'!D996=1,CONCATENATE("{quality = ",'RHS INPUT'!G996,"; price = ",Round('RHS INPUT'!M996),";};"),""))</f>
        <v>{quality = 1; price = 10000;};</v>
      </c>
      <c r="E996" t="str">
        <f>IFERROR(__xludf.DUMMYFUNCTION("if(ISBLANK(A996),, if('RHS INPUT'!E996=1,CONCATENATE(CHAR(34),To_Text('RHS INPUT'!C996),CHAR(34),CHAR(44)),""""))"),"""Exile_Boat_SDV_Grey"",")</f>
        <v>"Exile_Boat_SDV_Grey",</v>
      </c>
      <c r="F996" s="28" t="str">
        <f>IF(isblank(A996) ,Concatenate("&gt; ",'RHS INPUT'!A996) , if('RHS INPUT'!F996=1,CONCATENATE(round('RHS INPUT'!N996),Char(44)," ",'RHS INPUT'!C996),""))</f>
        <v/>
      </c>
    </row>
    <row r="997" ht="12.0" customHeight="1">
      <c r="A997" s="1" t="str">
        <f>IFERROR(__xludf.DUMMYFUNCTION("if(ISBLANK('RHS INPUT'!C997),,CONCATENATE(CHAR(34),To_Text('RHS INPUT'!C997),CHAR(34),CHAR(44)))"),"")</f>
        <v/>
      </c>
      <c r="B997" s="18" t="str">
        <f>if(isblank('RHS INPUT'!A997),,CONCATENATE("/*  ",'RHS INPUT'!A997,"  */"))</f>
        <v/>
      </c>
      <c r="C997" s="22" t="str">
        <f>if(isblank(A997),,if('RHS INPUT'!D997=1,Concatenate("class ",'RHS INPUT'!C997),))</f>
        <v/>
      </c>
      <c r="D997" s="27" t="str">
        <f>if(ISBLANK(A997),,if('RHS INPUT'!D997=1,CONCATENATE("{quality = ",'RHS INPUT'!G997,"; price = ",Round('RHS INPUT'!M997),";};"),""))</f>
        <v/>
      </c>
      <c r="E997" t="str">
        <f>IFERROR(__xludf.DUMMYFUNCTION("if(ISBLANK(A997),, if('RHS INPUT'!E997=1,CONCATENATE(CHAR(34),To_Text('RHS INPUT'!C997),CHAR(34),CHAR(44)),""""))"),"")</f>
        <v/>
      </c>
      <c r="F997" s="28" t="str">
        <f>IF(isblank(A997) ,Concatenate("&gt; ",'RHS INPUT'!A997) , if('RHS INPUT'!F997=1,CONCATENATE(round('RHS INPUT'!N997),Char(44)," ",'RHS INPUT'!C997),""))</f>
        <v>&gt; </v>
      </c>
    </row>
    <row r="998" ht="12.0" customHeight="1">
      <c r="A998" s="1" t="str">
        <f>IFERROR(__xludf.DUMMYFUNCTION("if(ISBLANK('RHS INPUT'!C998),,CONCATENATE(CHAR(34),To_Text('RHS INPUT'!C998),CHAR(34),CHAR(44)))"),"")</f>
        <v/>
      </c>
      <c r="B998" s="18" t="str">
        <f>if(isblank('RHS INPUT'!A998),,CONCATENATE("/*  ",'RHS INPUT'!A998,"  */"))</f>
        <v/>
      </c>
      <c r="C998" s="22" t="str">
        <f>if(isblank(A998),,if('RHS INPUT'!D998=1,Concatenate("class ",'RHS INPUT'!C998),))</f>
        <v/>
      </c>
      <c r="D998" s="27" t="str">
        <f>if(ISBLANK(A998),,if('RHS INPUT'!D998=1,CONCATENATE("{quality = ",'RHS INPUT'!G998,"; price = ",Round('RHS INPUT'!M998),";};"),""))</f>
        <v/>
      </c>
      <c r="E998" t="str">
        <f>IFERROR(__xludf.DUMMYFUNCTION("if(ISBLANK(A998),, if('RHS INPUT'!E998=1,CONCATENATE(CHAR(34),To_Text('RHS INPUT'!C998),CHAR(34),CHAR(44)),""""))"),"")</f>
        <v/>
      </c>
      <c r="F998" s="28" t="str">
        <f>IF(isblank(A998) ,Concatenate("&gt; ",'RHS INPUT'!A998) , if('RHS INPUT'!F998=1,CONCATENATE(round('RHS INPUT'!N998),Char(44)," ",'RHS INPUT'!C998),""))</f>
        <v>&gt; </v>
      </c>
    </row>
    <row r="999" ht="12.0" customHeight="1">
      <c r="A999" s="1" t="str">
        <f>IFERROR(__xludf.DUMMYFUNCTION("if(ISBLANK('RHS INPUT'!C999),,CONCATENATE(CHAR(34),To_Text('RHS INPUT'!C999),CHAR(34),CHAR(44)))"),"")</f>
        <v/>
      </c>
      <c r="B999" s="18" t="str">
        <f>if(isblank('RHS INPUT'!A999),,CONCATENATE("/*  ",'RHS INPUT'!A999,"  */"))</f>
        <v/>
      </c>
      <c r="C999" s="22" t="str">
        <f>if(isblank(A999),,if('RHS INPUT'!D999=1,Concatenate("class ",'RHS INPUT'!C999),))</f>
        <v/>
      </c>
      <c r="D999" s="27" t="str">
        <f>if(ISBLANK(A999),,if('RHS INPUT'!D999=1,CONCATENATE("{quality = ",'RHS INPUT'!G999,"; price = ",Round('RHS INPUT'!M999),";};"),""))</f>
        <v/>
      </c>
      <c r="E999" t="str">
        <f>IFERROR(__xludf.DUMMYFUNCTION("if(ISBLANK(A999),, if('RHS INPUT'!E999=1,CONCATENATE(CHAR(34),To_Text('RHS INPUT'!C999),CHAR(34),CHAR(44)),""""))"),"")</f>
        <v/>
      </c>
      <c r="F999" s="28" t="str">
        <f>IF(isblank(A999) ,Concatenate("&gt; ",'RHS INPUT'!A999) , if('RHS INPUT'!F999=1,CONCATENATE(round('RHS INPUT'!N999),Char(44)," ",'RHS INPUT'!C999),""))</f>
        <v>&gt; </v>
      </c>
    </row>
    <row r="1000" ht="12.0" customHeight="1">
      <c r="A1000" s="1" t="str">
        <f>IFERROR(__xludf.DUMMYFUNCTION("if(ISBLANK('RHS INPUT'!C1000),,CONCATENATE(CHAR(34),To_Text('RHS INPUT'!C1000),CHAR(34),CHAR(44)))"),"")</f>
        <v/>
      </c>
      <c r="B1000" s="18" t="str">
        <f>if(isblank('RHS INPUT'!A1000),,CONCATENATE("/*  ",'RHS INPUT'!A1000,"  */"))</f>
        <v/>
      </c>
      <c r="C1000" s="22" t="str">
        <f>if(isblank(A1000),,if('RHS INPUT'!D1000=1,Concatenate("class ",'RHS INPUT'!C1000),))</f>
        <v/>
      </c>
      <c r="D1000" s="27" t="str">
        <f>if(ISBLANK(A1000),,if('RHS INPUT'!D1000=1,CONCATENATE("{quality = ",'RHS INPUT'!G1000,"; price = ",Round('RHS INPUT'!M1000),";};"),""))</f>
        <v/>
      </c>
      <c r="E1000" t="str">
        <f>IFERROR(__xludf.DUMMYFUNCTION("if(ISBLANK(A1000),, if('RHS INPUT'!E1000=1,CONCATENATE(CHAR(34),To_Text('RHS INPUT'!C1000),CHAR(34),CHAR(44)),""""))"),"")</f>
        <v/>
      </c>
      <c r="F1000" s="28" t="str">
        <f>IF(isblank(A1000) ,Concatenate("&gt; ",'RHS INPUT'!A1000) , if('RHS INPUT'!F1000=1,CONCATENATE(round('RHS INPUT'!N1000),Char(44)," ",'RHS INPUT'!C1000),""))</f>
        <v>&gt; </v>
      </c>
    </row>
    <row r="1001" ht="12.0" customHeight="1">
      <c r="A1001" s="1" t="str">
        <f>IFERROR(__xludf.DUMMYFUNCTION("if(ISBLANK('RHS INPUT'!C1001),,CONCATENATE(CHAR(34),To_Text('RHS INPUT'!C1001),CHAR(34),CHAR(44)))"),"")</f>
        <v/>
      </c>
      <c r="B1001" s="18" t="str">
        <f>if(isblank('RHS INPUT'!A1001),,CONCATENATE("/*  ",'RHS INPUT'!A1001,"  */"))</f>
        <v/>
      </c>
      <c r="C1001" s="22" t="str">
        <f>if(isblank(A1001),,if('RHS INPUT'!D1001=1,Concatenate("class ",'RHS INPUT'!C1001),))</f>
        <v/>
      </c>
      <c r="D1001" s="27" t="str">
        <f>if(ISBLANK(A1001),,if('RHS INPUT'!D1001=1,CONCATENATE("{quality = ",'RHS INPUT'!G1001,"; price = ",Round('RHS INPUT'!M1001),";};"),""))</f>
        <v/>
      </c>
      <c r="E1001" t="str">
        <f>IFERROR(__xludf.DUMMYFUNCTION("if(ISBLANK(A1001),, if('RHS INPUT'!E1001=1,CONCATENATE(CHAR(34),To_Text('RHS INPUT'!C1001),CHAR(34),CHAR(44)),""""))"),"")</f>
        <v/>
      </c>
      <c r="F1001" s="28" t="str">
        <f>IF(isblank(A1001) ,Concatenate("&gt; ",'RHS INPUT'!A1001) , if('RHS INPUT'!F1001=1,CONCATENATE(round('RHS INPUT'!N1001),Char(44)," ",'RHS INPUT'!C1001),""))</f>
        <v>&gt; </v>
      </c>
    </row>
    <row r="1002" ht="12.0" customHeight="1">
      <c r="A1002" s="1" t="str">
        <f>IFERROR(__xludf.DUMMYFUNCTION("if(ISBLANK('RHS INPUT'!C1002),,CONCATENATE(CHAR(34),To_Text('RHS INPUT'!C1002),CHAR(34),CHAR(44)))"),"")</f>
        <v/>
      </c>
      <c r="B1002" s="18" t="str">
        <f>if(isblank('RHS INPUT'!A1002),,CONCATENATE("/*  ",'RHS INPUT'!A1002,"  */"))</f>
        <v/>
      </c>
      <c r="C1002" s="22" t="str">
        <f>if(isblank(A1002),,if('RHS INPUT'!D1002=1,Concatenate("class ",'RHS INPUT'!C1002),))</f>
        <v/>
      </c>
      <c r="D1002" s="27" t="str">
        <f>if(ISBLANK(A1002),,if('RHS INPUT'!D1002=1,CONCATENATE("{quality = ",'RHS INPUT'!G1002,"; price = ",Round('RHS INPUT'!M1002),";};"),""))</f>
        <v/>
      </c>
      <c r="E1002" t="str">
        <f>IFERROR(__xludf.DUMMYFUNCTION("if(ISBLANK(A1002),, if('RHS INPUT'!E1002=1,CONCATENATE(CHAR(34),To_Text('RHS INPUT'!C1002),CHAR(34),CHAR(44)),""""))"),"")</f>
        <v/>
      </c>
      <c r="F1002" s="28" t="str">
        <f>IF(isblank(A1002) ,Concatenate("&gt; ",'RHS INPUT'!A1002) , if('RHS INPUT'!F1002=1,CONCATENATE(round('RHS INPUT'!N1002),Char(44)," ",'RHS INPUT'!C1002),""))</f>
        <v>&gt; </v>
      </c>
    </row>
  </sheetData>
  <mergeCells count="1">
    <mergeCell ref="B4:D4"/>
  </mergeCells>
  <conditionalFormatting sqref="B4 C4:F1002">
    <cfRule type="containsBlanks" dxfId="7" priority="1">
      <formula>LEN(TRIM(B4))=0</formula>
    </cfRule>
  </conditionalFormatting>
  <conditionalFormatting sqref="C:D B4">
    <cfRule type="notContainsBlanks" dxfId="6" priority="2">
      <formula>LEN(TRIM(C1))&gt;0</formula>
    </cfRule>
  </conditionalFormatting>
  <conditionalFormatting sqref="E:E">
    <cfRule type="notContainsBlanks" dxfId="8" priority="3">
      <formula>LEN(TRIM(E1))&gt;0</formula>
    </cfRule>
  </conditionalFormatting>
  <conditionalFormatting sqref="F:F">
    <cfRule type="notContainsBlanks" dxfId="5" priority="4">
      <formula>LEN(TRIM(F1))&gt;0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60.0"/>
  </cols>
  <sheetData>
    <row r="1">
      <c r="A1" s="6" t="s">
        <v>0</v>
      </c>
    </row>
    <row r="2">
      <c r="A2" s="6" t="s">
        <v>4</v>
      </c>
      <c r="B2" s="6"/>
    </row>
    <row r="3">
      <c r="A3" s="6" t="s">
        <v>5</v>
      </c>
      <c r="B3" s="6"/>
    </row>
    <row r="4">
      <c r="A4" s="6" t="s">
        <v>6</v>
      </c>
      <c r="B4" s="6"/>
    </row>
    <row r="5">
      <c r="A5" s="6" t="s">
        <v>8</v>
      </c>
      <c r="B5" s="6"/>
    </row>
    <row r="6">
      <c r="A6" s="6" t="s">
        <v>9</v>
      </c>
      <c r="B6" s="6"/>
    </row>
    <row r="7">
      <c r="A7" s="6" t="s">
        <v>14</v>
      </c>
      <c r="B7" s="6"/>
    </row>
    <row r="8">
      <c r="A8" s="6" t="s">
        <v>16</v>
      </c>
      <c r="B8" s="6"/>
    </row>
    <row r="9">
      <c r="A9" s="6" t="s">
        <v>19</v>
      </c>
      <c r="B9" s="6"/>
    </row>
    <row r="10">
      <c r="A10" s="6" t="s">
        <v>21</v>
      </c>
      <c r="B10" s="6"/>
    </row>
    <row r="11">
      <c r="A11" s="6" t="s">
        <v>23</v>
      </c>
      <c r="B11" s="6"/>
    </row>
    <row r="12">
      <c r="A12" s="6" t="s">
        <v>24</v>
      </c>
      <c r="B12" s="6"/>
    </row>
    <row r="13">
      <c r="A13" s="6" t="s">
        <v>26</v>
      </c>
      <c r="B13" s="6"/>
    </row>
    <row r="14">
      <c r="A14" s="6" t="s">
        <v>27</v>
      </c>
      <c r="B14" s="6"/>
    </row>
    <row r="15">
      <c r="A15" s="6" t="s">
        <v>28</v>
      </c>
      <c r="B15" s="6"/>
    </row>
    <row r="16">
      <c r="A16" s="6" t="s">
        <v>29</v>
      </c>
      <c r="B16" s="6"/>
    </row>
    <row r="17">
      <c r="A17" s="6" t="s">
        <v>30</v>
      </c>
      <c r="B17" s="6"/>
    </row>
    <row r="18">
      <c r="A18" s="6" t="s">
        <v>31</v>
      </c>
      <c r="B18" s="6"/>
    </row>
    <row r="19">
      <c r="A19" s="6" t="s">
        <v>32</v>
      </c>
      <c r="B19" s="6"/>
    </row>
    <row r="20">
      <c r="A20" s="6" t="s">
        <v>33</v>
      </c>
      <c r="B20" s="6"/>
    </row>
    <row r="21">
      <c r="A21" s="6" t="s">
        <v>34</v>
      </c>
      <c r="B21" s="6"/>
    </row>
    <row r="22">
      <c r="A22" s="6" t="s">
        <v>35</v>
      </c>
      <c r="B22" s="6"/>
    </row>
    <row r="23">
      <c r="A23" s="6" t="s">
        <v>36</v>
      </c>
      <c r="B23" s="6"/>
    </row>
    <row r="24">
      <c r="A24" s="6" t="s">
        <v>37</v>
      </c>
      <c r="B24" s="6"/>
    </row>
    <row r="25">
      <c r="A25" s="6" t="s">
        <v>38</v>
      </c>
      <c r="B25" s="6"/>
    </row>
    <row r="26">
      <c r="A26" s="6" t="s">
        <v>39</v>
      </c>
      <c r="B26" s="6"/>
    </row>
    <row r="27">
      <c r="A27" s="6" t="s">
        <v>40</v>
      </c>
      <c r="B27" s="6"/>
    </row>
    <row r="28">
      <c r="A28" s="6" t="s">
        <v>41</v>
      </c>
      <c r="B28" s="6"/>
    </row>
    <row r="29">
      <c r="A29" s="6" t="s">
        <v>42</v>
      </c>
      <c r="B29" s="6"/>
    </row>
    <row r="30">
      <c r="A30" s="6" t="s">
        <v>43</v>
      </c>
      <c r="B30" s="6"/>
    </row>
    <row r="31">
      <c r="A31" s="6" t="s">
        <v>44</v>
      </c>
      <c r="B31" s="6"/>
    </row>
    <row r="32">
      <c r="A32" s="6" t="s">
        <v>45</v>
      </c>
      <c r="B32" s="6"/>
    </row>
    <row r="33">
      <c r="A33" s="6" t="s">
        <v>46</v>
      </c>
    </row>
    <row r="34">
      <c r="A34" s="6" t="s">
        <v>47</v>
      </c>
    </row>
    <row r="35">
      <c r="A35" s="6" t="s">
        <v>48</v>
      </c>
    </row>
    <row r="37">
      <c r="A37" s="6" t="s">
        <v>49</v>
      </c>
    </row>
    <row r="38">
      <c r="A38" s="6" t="s">
        <v>50</v>
      </c>
    </row>
    <row r="39">
      <c r="A39" s="6" t="s">
        <v>48</v>
      </c>
    </row>
    <row r="40">
      <c r="A40" s="6"/>
    </row>
    <row r="41">
      <c r="A41" s="6" t="s">
        <v>51</v>
      </c>
    </row>
    <row r="42">
      <c r="A42" s="6" t="s">
        <v>52</v>
      </c>
    </row>
    <row r="43">
      <c r="A43" s="6" t="s">
        <v>53</v>
      </c>
    </row>
    <row r="44">
      <c r="A44" s="6" t="s">
        <v>51</v>
      </c>
    </row>
    <row r="45">
      <c r="A45" s="6" t="s">
        <v>55</v>
      </c>
    </row>
    <row r="46">
      <c r="A46" s="6" t="s">
        <v>56</v>
      </c>
    </row>
    <row r="47">
      <c r="A47" s="6" t="s">
        <v>58</v>
      </c>
    </row>
    <row r="48">
      <c r="A48" s="6" t="s">
        <v>59</v>
      </c>
    </row>
    <row r="49">
      <c r="A49" s="6" t="s">
        <v>60</v>
      </c>
    </row>
    <row r="50">
      <c r="A50" s="6" t="s">
        <v>61</v>
      </c>
    </row>
    <row r="51">
      <c r="A51" s="6" t="s">
        <v>14</v>
      </c>
    </row>
    <row r="52">
      <c r="A52" s="6" t="s">
        <v>62</v>
      </c>
    </row>
    <row r="53">
      <c r="A53" s="6" t="s">
        <v>19</v>
      </c>
    </row>
    <row r="54">
      <c r="A54" s="6" t="s">
        <v>21</v>
      </c>
    </row>
    <row r="55">
      <c r="A55" s="6" t="s">
        <v>23</v>
      </c>
    </row>
    <row r="56">
      <c r="A56" s="6" t="s">
        <v>64</v>
      </c>
    </row>
    <row r="57">
      <c r="A57" s="6" t="s">
        <v>65</v>
      </c>
    </row>
    <row r="58">
      <c r="A58" s="6" t="s">
        <v>27</v>
      </c>
    </row>
    <row r="59">
      <c r="A59" s="6" t="s">
        <v>28</v>
      </c>
    </row>
    <row r="60">
      <c r="A60" s="6" t="s">
        <v>29</v>
      </c>
    </row>
    <row r="61">
      <c r="A61" s="6" t="s">
        <v>66</v>
      </c>
    </row>
    <row r="62">
      <c r="A62" s="6" t="s">
        <v>67</v>
      </c>
    </row>
    <row r="63">
      <c r="A63" s="6" t="s">
        <v>68</v>
      </c>
    </row>
    <row r="64">
      <c r="A64" s="6" t="s">
        <v>69</v>
      </c>
    </row>
    <row r="65">
      <c r="A65" s="6" t="s">
        <v>34</v>
      </c>
    </row>
    <row r="66">
      <c r="A66" s="6" t="s">
        <v>35</v>
      </c>
    </row>
    <row r="67">
      <c r="A67" s="6" t="s">
        <v>70</v>
      </c>
    </row>
    <row r="68">
      <c r="A68" s="6" t="s">
        <v>71</v>
      </c>
    </row>
    <row r="69">
      <c r="A69" s="6" t="s">
        <v>38</v>
      </c>
    </row>
    <row r="70">
      <c r="A70" s="6" t="s">
        <v>72</v>
      </c>
    </row>
    <row r="71">
      <c r="A71" s="6" t="s">
        <v>73</v>
      </c>
    </row>
    <row r="72">
      <c r="A72" s="6" t="s">
        <v>74</v>
      </c>
    </row>
    <row r="73">
      <c r="A73" s="6" t="s">
        <v>75</v>
      </c>
    </row>
    <row r="74">
      <c r="A74" s="6" t="s">
        <v>76</v>
      </c>
    </row>
    <row r="75">
      <c r="A75" s="6" t="s">
        <v>44</v>
      </c>
    </row>
    <row r="76">
      <c r="A76" s="6" t="s">
        <v>45</v>
      </c>
    </row>
    <row r="77">
      <c r="A77" s="6" t="s">
        <v>46</v>
      </c>
    </row>
    <row r="78">
      <c r="A78" s="6"/>
    </row>
    <row r="79">
      <c r="A79" s="6" t="s">
        <v>51</v>
      </c>
    </row>
    <row r="80">
      <c r="A80" s="6" t="s">
        <v>77</v>
      </c>
    </row>
    <row r="81">
      <c r="A81" s="6" t="s">
        <v>51</v>
      </c>
    </row>
    <row r="82">
      <c r="A82" s="6" t="s">
        <v>78</v>
      </c>
    </row>
    <row r="83">
      <c r="A83" s="6" t="s">
        <v>56</v>
      </c>
    </row>
    <row r="84">
      <c r="A84" s="6" t="s">
        <v>58</v>
      </c>
    </row>
    <row r="85">
      <c r="A85" s="6" t="s">
        <v>59</v>
      </c>
    </row>
    <row r="86">
      <c r="A86" s="6" t="s">
        <v>60</v>
      </c>
    </row>
    <row r="87">
      <c r="A87" s="6" t="s">
        <v>61</v>
      </c>
    </row>
    <row r="88">
      <c r="A88" s="6" t="s">
        <v>14</v>
      </c>
    </row>
    <row r="89">
      <c r="A89" s="6" t="s">
        <v>62</v>
      </c>
    </row>
    <row r="90">
      <c r="A90" s="6" t="s">
        <v>19</v>
      </c>
    </row>
    <row r="91">
      <c r="A91" s="6" t="s">
        <v>79</v>
      </c>
    </row>
    <row r="92">
      <c r="A92" s="6" t="s">
        <v>80</v>
      </c>
    </row>
    <row r="93">
      <c r="A93" s="6" t="s">
        <v>64</v>
      </c>
    </row>
    <row r="94">
      <c r="A94" s="6" t="s">
        <v>65</v>
      </c>
    </row>
    <row r="95">
      <c r="A95" s="6" t="s">
        <v>81</v>
      </c>
    </row>
    <row r="96">
      <c r="A96" s="6" t="s">
        <v>82</v>
      </c>
    </row>
    <row r="97">
      <c r="A97" s="6" t="s">
        <v>29</v>
      </c>
    </row>
    <row r="98">
      <c r="A98" s="6" t="s">
        <v>83</v>
      </c>
    </row>
    <row r="99">
      <c r="A99" s="6" t="s">
        <v>67</v>
      </c>
    </row>
    <row r="100">
      <c r="A100" s="6" t="s">
        <v>68</v>
      </c>
    </row>
    <row r="101">
      <c r="A101" s="6" t="s">
        <v>69</v>
      </c>
    </row>
    <row r="102">
      <c r="A102" s="6" t="s">
        <v>34</v>
      </c>
    </row>
    <row r="103">
      <c r="A103" s="6" t="s">
        <v>35</v>
      </c>
    </row>
    <row r="104">
      <c r="A104" s="6" t="s">
        <v>70</v>
      </c>
    </row>
    <row r="105">
      <c r="A105" s="6" t="s">
        <v>71</v>
      </c>
    </row>
    <row r="106">
      <c r="A106" s="6" t="s">
        <v>84</v>
      </c>
    </row>
    <row r="107">
      <c r="A107" s="6" t="s">
        <v>72</v>
      </c>
    </row>
    <row r="108">
      <c r="A108" s="6" t="s">
        <v>73</v>
      </c>
    </row>
    <row r="109">
      <c r="A109" s="6" t="s">
        <v>74</v>
      </c>
    </row>
    <row r="110">
      <c r="A110" s="6" t="s">
        <v>75</v>
      </c>
    </row>
    <row r="111">
      <c r="A111" s="6" t="s">
        <v>76</v>
      </c>
    </row>
    <row r="112">
      <c r="A112" s="6" t="s">
        <v>85</v>
      </c>
    </row>
    <row r="113">
      <c r="A113" s="6" t="s">
        <v>45</v>
      </c>
    </row>
    <row r="114">
      <c r="A114" s="6" t="s">
        <v>46</v>
      </c>
    </row>
    <row r="115">
      <c r="A115" s="6"/>
    </row>
    <row r="116">
      <c r="A116" s="6" t="s">
        <v>51</v>
      </c>
    </row>
    <row r="117">
      <c r="A117" s="6" t="s">
        <v>86</v>
      </c>
    </row>
    <row r="118">
      <c r="A118" s="6" t="s">
        <v>51</v>
      </c>
    </row>
    <row r="119">
      <c r="A119" s="6" t="s">
        <v>87</v>
      </c>
    </row>
    <row r="120">
      <c r="A120" s="6" t="s">
        <v>88</v>
      </c>
    </row>
    <row r="121">
      <c r="A121" s="6" t="s">
        <v>89</v>
      </c>
    </row>
    <row r="122">
      <c r="A122" s="6" t="s">
        <v>59</v>
      </c>
    </row>
    <row r="123">
      <c r="A123" s="6" t="s">
        <v>60</v>
      </c>
    </row>
    <row r="124">
      <c r="A124" s="6" t="s">
        <v>61</v>
      </c>
    </row>
    <row r="125">
      <c r="A125" s="6" t="s">
        <v>90</v>
      </c>
    </row>
    <row r="126">
      <c r="A126" s="6" t="s">
        <v>62</v>
      </c>
    </row>
    <row r="127">
      <c r="A127" s="6" t="s">
        <v>91</v>
      </c>
    </row>
    <row r="128">
      <c r="A128" s="6" t="s">
        <v>79</v>
      </c>
    </row>
    <row r="129">
      <c r="A129" s="6" t="s">
        <v>80</v>
      </c>
    </row>
    <row r="130">
      <c r="A130" s="6" t="s">
        <v>64</v>
      </c>
    </row>
    <row r="131">
      <c r="A131" s="6" t="s">
        <v>65</v>
      </c>
    </row>
    <row r="132">
      <c r="A132" s="6" t="s">
        <v>81</v>
      </c>
    </row>
    <row r="133">
      <c r="A133" s="6" t="s">
        <v>92</v>
      </c>
    </row>
    <row r="134">
      <c r="A134" s="6" t="s">
        <v>93</v>
      </c>
    </row>
    <row r="135">
      <c r="A135" s="6" t="s">
        <v>83</v>
      </c>
    </row>
    <row r="136">
      <c r="A136" s="6" t="s">
        <v>67</v>
      </c>
    </row>
    <row r="137">
      <c r="A137" s="6" t="s">
        <v>68</v>
      </c>
    </row>
    <row r="138">
      <c r="A138" s="6" t="s">
        <v>69</v>
      </c>
    </row>
    <row r="139">
      <c r="A139" s="6" t="s">
        <v>34</v>
      </c>
    </row>
    <row r="140">
      <c r="A140" s="6" t="s">
        <v>35</v>
      </c>
    </row>
    <row r="141">
      <c r="A141" s="6" t="s">
        <v>70</v>
      </c>
    </row>
    <row r="142">
      <c r="A142" s="6" t="s">
        <v>71</v>
      </c>
    </row>
    <row r="143">
      <c r="A143" s="6" t="s">
        <v>84</v>
      </c>
    </row>
    <row r="144">
      <c r="A144" s="6" t="s">
        <v>72</v>
      </c>
    </row>
    <row r="145">
      <c r="A145" s="6" t="s">
        <v>73</v>
      </c>
    </row>
    <row r="146">
      <c r="A146" s="6" t="s">
        <v>95</v>
      </c>
    </row>
    <row r="147">
      <c r="A147" s="6" t="s">
        <v>96</v>
      </c>
    </row>
    <row r="148">
      <c r="A148" s="6" t="s">
        <v>97</v>
      </c>
    </row>
    <row r="149">
      <c r="A149" s="6" t="s">
        <v>98</v>
      </c>
    </row>
    <row r="150">
      <c r="A150" s="6" t="s">
        <v>45</v>
      </c>
    </row>
    <row r="151">
      <c r="A151" s="6" t="s">
        <v>99</v>
      </c>
    </row>
    <row r="152">
      <c r="A152" s="6" t="s">
        <v>46</v>
      </c>
    </row>
    <row r="153">
      <c r="A153" s="6"/>
    </row>
    <row r="154">
      <c r="A154" s="6" t="s">
        <v>51</v>
      </c>
    </row>
    <row r="155">
      <c r="A155" s="6" t="s">
        <v>100</v>
      </c>
    </row>
    <row r="156">
      <c r="A156" s="6" t="s">
        <v>51</v>
      </c>
    </row>
    <row r="157">
      <c r="A157" s="6" t="s">
        <v>101</v>
      </c>
    </row>
    <row r="158">
      <c r="A158" s="6" t="s">
        <v>102</v>
      </c>
    </row>
    <row r="159">
      <c r="A159" s="6" t="s">
        <v>103</v>
      </c>
    </row>
    <row r="160">
      <c r="A160" s="6" t="s">
        <v>104</v>
      </c>
    </row>
    <row r="161">
      <c r="A161" s="6" t="s">
        <v>76</v>
      </c>
    </row>
    <row r="162">
      <c r="A162" s="6" t="s">
        <v>98</v>
      </c>
    </row>
    <row r="163">
      <c r="A163" s="6" t="s">
        <v>45</v>
      </c>
    </row>
    <row r="164">
      <c r="A164" s="6" t="s">
        <v>105</v>
      </c>
    </row>
    <row r="165">
      <c r="A165" s="6" t="s">
        <v>106</v>
      </c>
    </row>
    <row r="166">
      <c r="A166" s="6" t="s">
        <v>38</v>
      </c>
    </row>
    <row r="167">
      <c r="A167" s="6" t="s">
        <v>46</v>
      </c>
    </row>
    <row r="168">
      <c r="A168" s="6"/>
    </row>
    <row r="169">
      <c r="A169" s="6" t="s">
        <v>51</v>
      </c>
    </row>
    <row r="170">
      <c r="A170" s="6" t="s">
        <v>107</v>
      </c>
    </row>
    <row r="171">
      <c r="A171" s="6" t="s">
        <v>51</v>
      </c>
    </row>
    <row r="172">
      <c r="A172" s="6" t="s">
        <v>108</v>
      </c>
    </row>
    <row r="173">
      <c r="A173" s="6" t="s">
        <v>99</v>
      </c>
    </row>
    <row r="174">
      <c r="A174" s="6" t="s">
        <v>109</v>
      </c>
    </row>
    <row r="175">
      <c r="A175" s="6"/>
    </row>
    <row r="176">
      <c r="A176" s="6" t="s">
        <v>51</v>
      </c>
    </row>
    <row r="177">
      <c r="A177" s="6" t="s">
        <v>110</v>
      </c>
    </row>
    <row r="178">
      <c r="A178" s="6" t="s">
        <v>51</v>
      </c>
    </row>
    <row r="179">
      <c r="A179" s="6" t="s">
        <v>111</v>
      </c>
    </row>
    <row r="180">
      <c r="A180" s="6" t="s">
        <v>102</v>
      </c>
    </row>
    <row r="181">
      <c r="A181" s="6" t="s">
        <v>112</v>
      </c>
    </row>
    <row r="182">
      <c r="A182" s="6" t="s">
        <v>113</v>
      </c>
    </row>
    <row r="183">
      <c r="A183" s="6" t="s">
        <v>76</v>
      </c>
    </row>
    <row r="184">
      <c r="A184" s="6" t="s">
        <v>98</v>
      </c>
    </row>
    <row r="185">
      <c r="A185" s="6" t="s">
        <v>45</v>
      </c>
    </row>
    <row r="186">
      <c r="A186" s="6" t="s">
        <v>105</v>
      </c>
    </row>
    <row r="187">
      <c r="A187" s="6" t="s">
        <v>106</v>
      </c>
    </row>
    <row r="188">
      <c r="A188" s="6" t="s">
        <v>38</v>
      </c>
    </row>
    <row r="189">
      <c r="A189" s="6" t="s">
        <v>46</v>
      </c>
    </row>
    <row r="190">
      <c r="A190" s="6"/>
    </row>
    <row r="191">
      <c r="A191" s="6" t="s">
        <v>51</v>
      </c>
    </row>
    <row r="192">
      <c r="A192" s="6" t="s">
        <v>115</v>
      </c>
    </row>
    <row r="193">
      <c r="A193" s="6" t="s">
        <v>51</v>
      </c>
    </row>
    <row r="194">
      <c r="A194" s="6" t="s">
        <v>116</v>
      </c>
    </row>
    <row r="195">
      <c r="A195" s="6" t="s">
        <v>117</v>
      </c>
    </row>
    <row r="196">
      <c r="A196" s="6" t="s">
        <v>118</v>
      </c>
    </row>
    <row r="197">
      <c r="A197" s="6" t="s">
        <v>59</v>
      </c>
    </row>
    <row r="198">
      <c r="A198" s="6" t="s">
        <v>119</v>
      </c>
    </row>
    <row r="199">
      <c r="A199" s="6" t="s">
        <v>120</v>
      </c>
    </row>
    <row r="200">
      <c r="A200" s="6" t="s">
        <v>121</v>
      </c>
    </row>
    <row r="201">
      <c r="A201" s="6" t="s">
        <v>122</v>
      </c>
    </row>
    <row r="202">
      <c r="A202" s="6" t="s">
        <v>123</v>
      </c>
    </row>
    <row r="203">
      <c r="A203" s="6" t="s">
        <v>79</v>
      </c>
    </row>
    <row r="204">
      <c r="A204" s="6" t="s">
        <v>80</v>
      </c>
    </row>
    <row r="205">
      <c r="A205" s="6" t="s">
        <v>64</v>
      </c>
    </row>
    <row r="206">
      <c r="A206" s="6" t="s">
        <v>65</v>
      </c>
    </row>
    <row r="207">
      <c r="A207" s="6" t="s">
        <v>124</v>
      </c>
    </row>
    <row r="208">
      <c r="A208" s="6" t="s">
        <v>82</v>
      </c>
    </row>
    <row r="209">
      <c r="A209" s="6" t="s">
        <v>125</v>
      </c>
    </row>
    <row r="210">
      <c r="A210" s="6" t="s">
        <v>126</v>
      </c>
    </row>
    <row r="211">
      <c r="A211" s="6" t="s">
        <v>127</v>
      </c>
    </row>
    <row r="212">
      <c r="A212" s="6" t="s">
        <v>128</v>
      </c>
    </row>
    <row r="213">
      <c r="A213" s="6" t="s">
        <v>129</v>
      </c>
    </row>
    <row r="214">
      <c r="A214" s="6" t="s">
        <v>34</v>
      </c>
    </row>
    <row r="215">
      <c r="A215" s="6" t="s">
        <v>130</v>
      </c>
    </row>
    <row r="216">
      <c r="A216" s="6" t="s">
        <v>131</v>
      </c>
    </row>
    <row r="217">
      <c r="A217" s="6" t="s">
        <v>132</v>
      </c>
    </row>
    <row r="218">
      <c r="A218" s="6" t="s">
        <v>133</v>
      </c>
    </row>
    <row r="219">
      <c r="A219" s="6" t="s">
        <v>39</v>
      </c>
    </row>
    <row r="220">
      <c r="A220" s="6" t="s">
        <v>40</v>
      </c>
    </row>
    <row r="221">
      <c r="A221" s="6" t="s">
        <v>41</v>
      </c>
    </row>
    <row r="222">
      <c r="A222" s="6" t="s">
        <v>42</v>
      </c>
    </row>
    <row r="223">
      <c r="A223" s="6" t="s">
        <v>43</v>
      </c>
    </row>
    <row r="224">
      <c r="A224" s="6" t="s">
        <v>135</v>
      </c>
    </row>
    <row r="225">
      <c r="A225" s="6" t="s">
        <v>136</v>
      </c>
    </row>
    <row r="226">
      <c r="A226" s="6" t="s">
        <v>137</v>
      </c>
    </row>
    <row r="227">
      <c r="A227" s="6" t="s">
        <v>99</v>
      </c>
    </row>
    <row r="228">
      <c r="A228" s="6"/>
    </row>
    <row r="229">
      <c r="A229" s="6" t="s">
        <v>51</v>
      </c>
    </row>
    <row r="230">
      <c r="A230" s="6" t="s">
        <v>138</v>
      </c>
    </row>
    <row r="231">
      <c r="A231" s="6" t="s">
        <v>51</v>
      </c>
    </row>
    <row r="232">
      <c r="A232" s="6" t="s">
        <v>139</v>
      </c>
    </row>
    <row r="233">
      <c r="A233" s="6" t="s">
        <v>140</v>
      </c>
    </row>
    <row r="234">
      <c r="A234" s="6" t="s">
        <v>141</v>
      </c>
    </row>
    <row r="235">
      <c r="A235" s="6"/>
    </row>
    <row r="236">
      <c r="A236" s="6" t="s">
        <v>51</v>
      </c>
    </row>
    <row r="237">
      <c r="A237" s="6" t="s">
        <v>142</v>
      </c>
    </row>
    <row r="238">
      <c r="A238" s="6" t="s">
        <v>51</v>
      </c>
    </row>
    <row r="239">
      <c r="A239" s="6" t="s">
        <v>143</v>
      </c>
    </row>
    <row r="240">
      <c r="A240" s="6" t="s">
        <v>88</v>
      </c>
    </row>
    <row r="241">
      <c r="A241" s="6" t="s">
        <v>89</v>
      </c>
    </row>
    <row r="242">
      <c r="A242" s="6" t="s">
        <v>59</v>
      </c>
    </row>
    <row r="243">
      <c r="A243" s="6" t="s">
        <v>61</v>
      </c>
    </row>
    <row r="244">
      <c r="A244" s="6" t="s">
        <v>122</v>
      </c>
    </row>
    <row r="245">
      <c r="A245" s="6" t="s">
        <v>145</v>
      </c>
    </row>
    <row r="246">
      <c r="A246" s="6" t="s">
        <v>24</v>
      </c>
    </row>
    <row r="247">
      <c r="A247" s="6" t="s">
        <v>26</v>
      </c>
    </row>
    <row r="248">
      <c r="A248" s="6" t="s">
        <v>146</v>
      </c>
    </row>
    <row r="249">
      <c r="A249" s="6" t="s">
        <v>148</v>
      </c>
    </row>
    <row r="250">
      <c r="A250" s="6" t="s">
        <v>149</v>
      </c>
    </row>
    <row r="251">
      <c r="A251" s="6" t="s">
        <v>150</v>
      </c>
    </row>
    <row r="252">
      <c r="A252" s="6" t="s">
        <v>34</v>
      </c>
    </row>
    <row r="253">
      <c r="A253" s="6" t="s">
        <v>70</v>
      </c>
    </row>
    <row r="254">
      <c r="A254" s="6" t="s">
        <v>71</v>
      </c>
    </row>
    <row r="255">
      <c r="A255" s="6" t="s">
        <v>152</v>
      </c>
    </row>
    <row r="256">
      <c r="A256" s="6" t="s">
        <v>73</v>
      </c>
    </row>
    <row r="257">
      <c r="A257" s="6" t="s">
        <v>153</v>
      </c>
    </row>
    <row r="258">
      <c r="A258" s="6" t="s">
        <v>154</v>
      </c>
    </row>
    <row r="259">
      <c r="A259" s="6" t="s">
        <v>155</v>
      </c>
    </row>
    <row r="260">
      <c r="A260" s="6" t="s">
        <v>156</v>
      </c>
    </row>
    <row r="261">
      <c r="A261" s="6" t="s">
        <v>157</v>
      </c>
    </row>
    <row r="262">
      <c r="A262" s="6" t="s"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43"/>
    <col customWidth="1" min="2" max="2" width="4.14"/>
    <col customWidth="1" min="3" max="3" width="2.29"/>
  </cols>
  <sheetData>
    <row r="1" ht="12.0" customHeight="1">
      <c r="A1" s="6" t="s">
        <v>171</v>
      </c>
      <c r="I1" s="6"/>
    </row>
    <row r="2" ht="12.0" customHeight="1">
      <c r="J2" s="6"/>
    </row>
    <row r="3" ht="12.0" customHeight="1">
      <c r="J3" s="6"/>
    </row>
    <row r="4" ht="12.0" customHeight="1">
      <c r="I4" s="29" t="s">
        <v>172</v>
      </c>
      <c r="J4" s="6"/>
    </row>
    <row r="5" ht="12.0" customHeight="1">
      <c r="B5" s="22" t="s">
        <v>174</v>
      </c>
      <c r="I5" s="6" t="s">
        <v>175</v>
      </c>
    </row>
    <row r="6" ht="12.0" customHeight="1">
      <c r="B6" s="22" t="s">
        <v>176</v>
      </c>
      <c r="I6" s="6" t="s">
        <v>177</v>
      </c>
      <c r="J6" s="6"/>
    </row>
    <row r="7" ht="12.0" customHeight="1">
      <c r="B7" s="27" t="s">
        <v>174</v>
      </c>
      <c r="I7" s="6" t="s">
        <v>178</v>
      </c>
      <c r="J7" s="6"/>
    </row>
    <row r="8" ht="12.0" customHeight="1">
      <c r="B8" s="6" t="s">
        <v>179</v>
      </c>
      <c r="C8" s="6" t="s">
        <v>175</v>
      </c>
      <c r="I8" s="6" t="s">
        <v>180</v>
      </c>
      <c r="J8" s="6"/>
    </row>
    <row r="9" ht="12.0" customHeight="1">
      <c r="B9" t="str">
        <f t="shared" ref="B9:B12" si="1">round(1/('Exile INPUT'!J40)*1000)</f>
        <v>#REF!</v>
      </c>
      <c r="C9" s="6" t="s">
        <v>185</v>
      </c>
      <c r="D9" s="6" t="s">
        <v>186</v>
      </c>
      <c r="I9" s="6" t="s">
        <v>187</v>
      </c>
    </row>
    <row r="10" ht="12.0" customHeight="1">
      <c r="B10" t="str">
        <f t="shared" si="1"/>
        <v>#REF!</v>
      </c>
      <c r="C10" s="6" t="s">
        <v>185</v>
      </c>
      <c r="D10" s="6" t="s">
        <v>188</v>
      </c>
      <c r="I10" s="6" t="s">
        <v>190</v>
      </c>
      <c r="J10" s="6"/>
    </row>
    <row r="11" ht="12.0" customHeight="1">
      <c r="B11" t="str">
        <f t="shared" si="1"/>
        <v>#REF!</v>
      </c>
      <c r="C11" s="6" t="s">
        <v>185</v>
      </c>
      <c r="D11" s="6" t="s">
        <v>191</v>
      </c>
      <c r="I11" s="6" t="s">
        <v>192</v>
      </c>
      <c r="J11" s="6"/>
    </row>
    <row r="12" ht="12.0" customHeight="1">
      <c r="B12" t="str">
        <f t="shared" si="1"/>
        <v>#REF!</v>
      </c>
      <c r="C12" s="6" t="s">
        <v>185</v>
      </c>
      <c r="D12" s="6" t="s">
        <v>194</v>
      </c>
      <c r="I12" s="6" t="s">
        <v>195</v>
      </c>
      <c r="J12" s="6"/>
    </row>
    <row r="13" ht="12.0" customHeight="1">
      <c r="C13" s="6"/>
      <c r="I13" s="6" t="s">
        <v>196</v>
      </c>
    </row>
    <row r="14" ht="12.0" customHeight="1">
      <c r="B14" s="6" t="s">
        <v>179</v>
      </c>
      <c r="C14" s="6" t="s">
        <v>177</v>
      </c>
      <c r="I14" s="6" t="s">
        <v>197</v>
      </c>
      <c r="J14" s="6"/>
    </row>
    <row r="15" ht="12.0" customHeight="1">
      <c r="B15" t="str">
        <f t="shared" ref="B15:B43" si="2">round(1/('Exile INPUT'!J11)*10000)</f>
        <v>#REF!</v>
      </c>
      <c r="C15" s="6" t="s">
        <v>185</v>
      </c>
      <c r="D15" s="6" t="s">
        <v>134</v>
      </c>
      <c r="I15" s="6" t="s">
        <v>201</v>
      </c>
      <c r="J15" s="6"/>
    </row>
    <row r="16" ht="12.0" customHeight="1">
      <c r="B16" t="str">
        <f t="shared" si="2"/>
        <v>#REF!</v>
      </c>
      <c r="C16" s="6" t="s">
        <v>185</v>
      </c>
      <c r="D16" s="6" t="s">
        <v>144</v>
      </c>
      <c r="I16" s="6" t="s">
        <v>203</v>
      </c>
    </row>
    <row r="17" ht="12.0" customHeight="1">
      <c r="B17" t="str">
        <f t="shared" si="2"/>
        <v>#REF!</v>
      </c>
      <c r="C17" s="6" t="s">
        <v>185</v>
      </c>
      <c r="D17" s="6" t="s">
        <v>147</v>
      </c>
      <c r="I17" s="6" t="s">
        <v>204</v>
      </c>
      <c r="J17" s="6"/>
    </row>
    <row r="18" ht="12.0" customHeight="1">
      <c r="B18" t="str">
        <f t="shared" si="2"/>
        <v>#REF!</v>
      </c>
      <c r="C18" s="6" t="s">
        <v>185</v>
      </c>
      <c r="D18" s="6" t="s">
        <v>151</v>
      </c>
      <c r="I18" s="6" t="s">
        <v>206</v>
      </c>
      <c r="J18" s="6"/>
    </row>
    <row r="19" ht="12.0" customHeight="1">
      <c r="B19" t="str">
        <f t="shared" si="2"/>
        <v>#REF!</v>
      </c>
      <c r="C19" s="6" t="s">
        <v>185</v>
      </c>
      <c r="D19" s="6" t="s">
        <v>158</v>
      </c>
      <c r="I19" s="6" t="s">
        <v>207</v>
      </c>
      <c r="J19" s="6"/>
    </row>
    <row r="20" ht="12.0" customHeight="1">
      <c r="B20" t="str">
        <f t="shared" si="2"/>
        <v>#REF!</v>
      </c>
      <c r="C20" s="6" t="s">
        <v>185</v>
      </c>
      <c r="D20" s="6" t="s">
        <v>159</v>
      </c>
      <c r="I20" s="6" t="s">
        <v>208</v>
      </c>
    </row>
    <row r="21" ht="12.0" customHeight="1">
      <c r="B21" t="str">
        <f t="shared" si="2"/>
        <v>#REF!</v>
      </c>
      <c r="C21" s="6" t="s">
        <v>185</v>
      </c>
      <c r="D21" s="6" t="s">
        <v>160</v>
      </c>
      <c r="I21" s="6" t="s">
        <v>209</v>
      </c>
      <c r="J21" s="6"/>
    </row>
    <row r="22" ht="12.0" customHeight="1">
      <c r="B22" t="str">
        <f t="shared" si="2"/>
        <v>#REF!</v>
      </c>
      <c r="C22" s="6" t="s">
        <v>185</v>
      </c>
      <c r="D22" s="6" t="s">
        <v>161</v>
      </c>
      <c r="I22" s="6" t="s">
        <v>210</v>
      </c>
      <c r="J22" s="6"/>
    </row>
    <row r="23" ht="12.0" customHeight="1">
      <c r="B23" t="str">
        <f t="shared" si="2"/>
        <v>#REF!</v>
      </c>
      <c r="C23" s="6" t="s">
        <v>185</v>
      </c>
      <c r="D23" s="6" t="s">
        <v>162</v>
      </c>
      <c r="I23" s="6" t="s">
        <v>211</v>
      </c>
      <c r="J23" s="6"/>
    </row>
    <row r="24" ht="12.0" customHeight="1">
      <c r="B24" t="str">
        <f t="shared" si="2"/>
        <v>#REF!</v>
      </c>
      <c r="C24" s="6" t="s">
        <v>185</v>
      </c>
      <c r="D24" s="6" t="s">
        <v>163</v>
      </c>
      <c r="I24" s="6" t="s">
        <v>212</v>
      </c>
    </row>
    <row r="25" ht="12.0" customHeight="1">
      <c r="B25" t="str">
        <f t="shared" si="2"/>
        <v>#REF!</v>
      </c>
      <c r="C25" s="6" t="s">
        <v>185</v>
      </c>
      <c r="D25" s="6" t="s">
        <v>164</v>
      </c>
      <c r="I25" s="6" t="s">
        <v>213</v>
      </c>
      <c r="J25" s="6"/>
    </row>
    <row r="26" ht="12.0" customHeight="1">
      <c r="B26" t="str">
        <f t="shared" si="2"/>
        <v>#REF!</v>
      </c>
      <c r="C26" s="6" t="s">
        <v>185</v>
      </c>
      <c r="D26" s="6" t="s">
        <v>165</v>
      </c>
      <c r="I26" s="6" t="s">
        <v>214</v>
      </c>
    </row>
    <row r="27" ht="12.0" customHeight="1">
      <c r="B27" t="str">
        <f t="shared" si="2"/>
        <v>#REF!</v>
      </c>
      <c r="C27" s="6" t="s">
        <v>185</v>
      </c>
      <c r="D27" s="6" t="s">
        <v>166</v>
      </c>
      <c r="I27" s="6" t="s">
        <v>215</v>
      </c>
      <c r="J27" s="6"/>
    </row>
    <row r="28" ht="12.0" customHeight="1">
      <c r="B28" t="str">
        <f t="shared" si="2"/>
        <v>#REF!</v>
      </c>
      <c r="C28" s="6" t="s">
        <v>185</v>
      </c>
      <c r="D28" s="6" t="s">
        <v>167</v>
      </c>
      <c r="I28" s="6" t="s">
        <v>216</v>
      </c>
      <c r="J28" s="6"/>
    </row>
    <row r="29" ht="12.0" customHeight="1">
      <c r="B29" t="str">
        <f t="shared" si="2"/>
        <v>#REF!</v>
      </c>
      <c r="C29" s="6" t="s">
        <v>185</v>
      </c>
      <c r="D29" s="6" t="s">
        <v>168</v>
      </c>
      <c r="I29" s="6" t="s">
        <v>217</v>
      </c>
      <c r="J29" s="6"/>
    </row>
    <row r="30" ht="12.0" customHeight="1">
      <c r="B30" t="str">
        <f t="shared" si="2"/>
        <v>#REF!</v>
      </c>
      <c r="C30" s="6" t="s">
        <v>185</v>
      </c>
      <c r="D30" s="6" t="s">
        <v>169</v>
      </c>
      <c r="I30" s="6" t="s">
        <v>219</v>
      </c>
    </row>
    <row r="31" ht="12.0" customHeight="1">
      <c r="B31" t="str">
        <f t="shared" si="2"/>
        <v>#REF!</v>
      </c>
      <c r="C31" s="6" t="s">
        <v>185</v>
      </c>
      <c r="D31" s="6" t="s">
        <v>170</v>
      </c>
      <c r="I31" s="6" t="s">
        <v>221</v>
      </c>
      <c r="J31" s="6"/>
    </row>
    <row r="32" ht="12.0" customHeight="1">
      <c r="B32" t="str">
        <f t="shared" si="2"/>
        <v>#REF!</v>
      </c>
      <c r="C32" s="6" t="s">
        <v>185</v>
      </c>
      <c r="D32" s="6" t="s">
        <v>173</v>
      </c>
      <c r="I32" s="6" t="s">
        <v>222</v>
      </c>
      <c r="J32" s="6"/>
    </row>
    <row r="33" ht="12.0" customHeight="1">
      <c r="B33" t="str">
        <f t="shared" si="2"/>
        <v>#REF!</v>
      </c>
      <c r="C33" s="6" t="s">
        <v>185</v>
      </c>
      <c r="D33" s="6" t="s">
        <v>181</v>
      </c>
      <c r="I33" s="6" t="s">
        <v>224</v>
      </c>
    </row>
    <row r="34" ht="12.0" customHeight="1">
      <c r="B34" t="str">
        <f t="shared" si="2"/>
        <v>#REF!</v>
      </c>
      <c r="C34" s="6" t="s">
        <v>185</v>
      </c>
      <c r="D34" s="6" t="s">
        <v>182</v>
      </c>
      <c r="I34" s="6" t="s">
        <v>225</v>
      </c>
      <c r="J34" s="6"/>
    </row>
    <row r="35" ht="12.0" customHeight="1">
      <c r="B35" t="str">
        <f t="shared" si="2"/>
        <v>#REF!</v>
      </c>
      <c r="C35" s="6" t="s">
        <v>185</v>
      </c>
      <c r="D35" s="6" t="s">
        <v>183</v>
      </c>
      <c r="I35" s="6" t="s">
        <v>227</v>
      </c>
      <c r="J35" s="6"/>
      <c r="K35" s="6"/>
    </row>
    <row r="36" ht="12.0" customHeight="1">
      <c r="B36" t="str">
        <f t="shared" si="2"/>
        <v>#REF!</v>
      </c>
      <c r="C36" s="6" t="s">
        <v>185</v>
      </c>
      <c r="D36" s="6" t="s">
        <v>184</v>
      </c>
      <c r="I36" s="6" t="s">
        <v>228</v>
      </c>
      <c r="J36" s="6"/>
      <c r="K36" s="6"/>
    </row>
    <row r="37" ht="12.0" customHeight="1">
      <c r="B37" t="str">
        <f t="shared" si="2"/>
        <v>#REF!</v>
      </c>
      <c r="C37" s="6" t="s">
        <v>185</v>
      </c>
      <c r="D37" s="6" t="s">
        <v>189</v>
      </c>
      <c r="I37" s="6" t="s">
        <v>229</v>
      </c>
      <c r="J37" s="6"/>
      <c r="K37" s="6"/>
    </row>
    <row r="38" ht="12.0" customHeight="1">
      <c r="B38" t="str">
        <f t="shared" si="2"/>
        <v>#REF!</v>
      </c>
      <c r="C38" s="6" t="s">
        <v>185</v>
      </c>
      <c r="D38" s="6" t="s">
        <v>193</v>
      </c>
      <c r="I38" s="6" t="s">
        <v>231</v>
      </c>
    </row>
    <row r="39" ht="12.0" customHeight="1">
      <c r="B39" t="str">
        <f t="shared" si="2"/>
        <v>#REF!</v>
      </c>
      <c r="C39" s="6" t="s">
        <v>185</v>
      </c>
      <c r="D39" s="6" t="s">
        <v>198</v>
      </c>
      <c r="I39" s="6" t="s">
        <v>232</v>
      </c>
      <c r="J39" s="6"/>
    </row>
    <row r="40" ht="12.0" customHeight="1">
      <c r="B40" t="str">
        <f t="shared" si="2"/>
        <v>#REF!</v>
      </c>
      <c r="C40" s="6" t="s">
        <v>185</v>
      </c>
      <c r="D40" s="6" t="s">
        <v>199</v>
      </c>
      <c r="I40" s="6" t="s">
        <v>234</v>
      </c>
      <c r="J40" s="6"/>
    </row>
    <row r="41" ht="12.0" customHeight="1">
      <c r="B41" t="str">
        <f t="shared" si="2"/>
        <v>#REF!</v>
      </c>
      <c r="C41" s="6" t="s">
        <v>185</v>
      </c>
      <c r="D41" s="6" t="s">
        <v>200</v>
      </c>
      <c r="I41" s="6" t="s">
        <v>235</v>
      </c>
      <c r="J41" s="6"/>
    </row>
    <row r="42" ht="12.0" customHeight="1">
      <c r="B42" t="str">
        <f t="shared" si="2"/>
        <v>#REF!</v>
      </c>
      <c r="C42" s="6" t="s">
        <v>185</v>
      </c>
      <c r="D42" s="6" t="s">
        <v>202</v>
      </c>
      <c r="I42" s="6" t="s">
        <v>237</v>
      </c>
    </row>
    <row r="43" ht="12.0" customHeight="1">
      <c r="B43" t="str">
        <f t="shared" si="2"/>
        <v>#REF!</v>
      </c>
      <c r="C43" s="6" t="s">
        <v>185</v>
      </c>
      <c r="D43" s="6" t="s">
        <v>205</v>
      </c>
      <c r="I43" s="6" t="s">
        <v>238</v>
      </c>
    </row>
    <row r="44" ht="12.0" customHeight="1">
      <c r="C44" s="6"/>
      <c r="I44" s="6" t="s">
        <v>240</v>
      </c>
    </row>
    <row r="45" ht="12.0" customHeight="1">
      <c r="B45" s="27" t="s">
        <v>174</v>
      </c>
      <c r="C45" s="6"/>
      <c r="I45" s="6" t="s">
        <v>241</v>
      </c>
      <c r="J45" s="6"/>
    </row>
    <row r="46" ht="12.0" customHeight="1">
      <c r="B46" s="27" t="s">
        <v>242</v>
      </c>
      <c r="C46" s="6"/>
      <c r="I46" s="6"/>
    </row>
    <row r="47" ht="12.0" customHeight="1">
      <c r="B47" s="27" t="s">
        <v>174</v>
      </c>
      <c r="C47" s="6"/>
    </row>
    <row r="48" ht="12.0" customHeight="1">
      <c r="B48" s="6" t="s">
        <v>179</v>
      </c>
      <c r="C48" s="6" t="s">
        <v>178</v>
      </c>
    </row>
    <row r="49" ht="12.0" customHeight="1">
      <c r="B49" t="str">
        <f t="shared" ref="B49:B64" si="3">round(1/('Exile INPUT'!J49)*1000)</f>
        <v>#REF!</v>
      </c>
      <c r="C49" s="6" t="s">
        <v>185</v>
      </c>
      <c r="D49" s="6" t="s">
        <v>233</v>
      </c>
    </row>
    <row r="50" ht="12.0" customHeight="1">
      <c r="B50" t="str">
        <f t="shared" si="3"/>
        <v>#REF!</v>
      </c>
      <c r="C50" s="6" t="s">
        <v>185</v>
      </c>
      <c r="D50" s="6" t="s">
        <v>236</v>
      </c>
    </row>
    <row r="51" ht="12.0" customHeight="1">
      <c r="B51" t="str">
        <f t="shared" si="3"/>
        <v>#REF!</v>
      </c>
      <c r="C51" s="6" t="s">
        <v>185</v>
      </c>
      <c r="D51" s="6" t="s">
        <v>239</v>
      </c>
    </row>
    <row r="52" ht="12.0" customHeight="1">
      <c r="B52" t="str">
        <f t="shared" si="3"/>
        <v>#REF!</v>
      </c>
      <c r="C52" s="6" t="s">
        <v>185</v>
      </c>
      <c r="D52" s="6" t="s">
        <v>243</v>
      </c>
    </row>
    <row r="53" ht="12.0" customHeight="1">
      <c r="B53" t="str">
        <f t="shared" si="3"/>
        <v>#REF!</v>
      </c>
      <c r="C53" s="6" t="s">
        <v>185</v>
      </c>
      <c r="D53" s="6" t="s">
        <v>244</v>
      </c>
    </row>
    <row r="54" ht="12.0" customHeight="1">
      <c r="B54" t="str">
        <f t="shared" si="3"/>
        <v>#REF!</v>
      </c>
      <c r="C54" s="6" t="s">
        <v>185</v>
      </c>
      <c r="D54" s="6" t="s">
        <v>245</v>
      </c>
    </row>
    <row r="55" ht="12.0" customHeight="1">
      <c r="B55" t="str">
        <f t="shared" si="3"/>
        <v>#REF!</v>
      </c>
      <c r="C55" s="6" t="s">
        <v>185</v>
      </c>
      <c r="D55" s="6" t="s">
        <v>248</v>
      </c>
    </row>
    <row r="56" ht="12.0" customHeight="1">
      <c r="B56" t="str">
        <f t="shared" si="3"/>
        <v>#REF!</v>
      </c>
      <c r="C56" s="6" t="s">
        <v>185</v>
      </c>
      <c r="D56" s="6" t="s">
        <v>249</v>
      </c>
    </row>
    <row r="57" ht="12.0" customHeight="1">
      <c r="B57" t="str">
        <f t="shared" si="3"/>
        <v>#REF!</v>
      </c>
      <c r="C57" s="6" t="s">
        <v>185</v>
      </c>
      <c r="D57" s="6" t="s">
        <v>250</v>
      </c>
    </row>
    <row r="58" ht="12.0" customHeight="1">
      <c r="B58" t="str">
        <f t="shared" si="3"/>
        <v>#REF!</v>
      </c>
      <c r="C58" s="6" t="s">
        <v>185</v>
      </c>
      <c r="D58" s="6" t="s">
        <v>251</v>
      </c>
    </row>
    <row r="59" ht="12.0" customHeight="1">
      <c r="B59" t="str">
        <f t="shared" si="3"/>
        <v>#REF!</v>
      </c>
      <c r="C59" s="6" t="s">
        <v>185</v>
      </c>
      <c r="D59" s="6" t="s">
        <v>252</v>
      </c>
    </row>
    <row r="60" ht="12.0" customHeight="1">
      <c r="B60" t="str">
        <f t="shared" si="3"/>
        <v>#REF!</v>
      </c>
      <c r="C60" s="6" t="s">
        <v>185</v>
      </c>
      <c r="D60" s="6" t="s">
        <v>254</v>
      </c>
    </row>
    <row r="61" ht="12.0" customHeight="1">
      <c r="B61" t="str">
        <f t="shared" si="3"/>
        <v>#REF!</v>
      </c>
      <c r="C61" s="6" t="s">
        <v>185</v>
      </c>
      <c r="D61" s="6" t="s">
        <v>255</v>
      </c>
    </row>
    <row r="62" ht="12.0" customHeight="1">
      <c r="B62" t="str">
        <f t="shared" si="3"/>
        <v>#REF!</v>
      </c>
      <c r="C62" s="6" t="s">
        <v>185</v>
      </c>
      <c r="D62" s="6" t="s">
        <v>256</v>
      </c>
    </row>
    <row r="63" ht="12.0" customHeight="1">
      <c r="B63" t="str">
        <f t="shared" si="3"/>
        <v>#REF!</v>
      </c>
      <c r="C63" s="6" t="s">
        <v>185</v>
      </c>
      <c r="D63" s="6" t="s">
        <v>257</v>
      </c>
    </row>
    <row r="64" ht="12.0" customHeight="1">
      <c r="B64" t="str">
        <f t="shared" si="3"/>
        <v>#REF!</v>
      </c>
      <c r="C64" s="6" t="s">
        <v>185</v>
      </c>
      <c r="D64" s="6" t="s">
        <v>258</v>
      </c>
    </row>
    <row r="65" ht="12.0" customHeight="1">
      <c r="C65" s="6"/>
    </row>
    <row r="66" ht="12.0" customHeight="1">
      <c r="B66" s="6" t="s">
        <v>179</v>
      </c>
      <c r="C66" s="6" t="s">
        <v>180</v>
      </c>
    </row>
    <row r="67" ht="12.0" customHeight="1">
      <c r="B67" t="str">
        <f t="shared" ref="B67:B92" si="4">round(1/('Exile INPUT'!J65)*10000)</f>
        <v>#REF!</v>
      </c>
      <c r="C67" s="6" t="s">
        <v>185</v>
      </c>
      <c r="D67" s="6" t="s">
        <v>259</v>
      </c>
    </row>
    <row r="68" ht="12.0" customHeight="1">
      <c r="B68" t="str">
        <f t="shared" si="4"/>
        <v>#REF!</v>
      </c>
      <c r="C68" s="6" t="s">
        <v>185</v>
      </c>
      <c r="D68" s="6" t="s">
        <v>260</v>
      </c>
    </row>
    <row r="69" ht="12.0" customHeight="1">
      <c r="B69" t="str">
        <f t="shared" si="4"/>
        <v>#REF!</v>
      </c>
      <c r="C69" s="6" t="s">
        <v>185</v>
      </c>
      <c r="D69" s="6" t="s">
        <v>261</v>
      </c>
    </row>
    <row r="70" ht="12.0" customHeight="1">
      <c r="B70" t="str">
        <f t="shared" si="4"/>
        <v>#REF!</v>
      </c>
      <c r="C70" s="6" t="s">
        <v>185</v>
      </c>
      <c r="D70" s="6" t="s">
        <v>262</v>
      </c>
    </row>
    <row r="71" ht="12.0" customHeight="1">
      <c r="B71" t="str">
        <f t="shared" si="4"/>
        <v>#REF!</v>
      </c>
      <c r="C71" s="6" t="s">
        <v>185</v>
      </c>
      <c r="D71" s="6" t="s">
        <v>263</v>
      </c>
    </row>
    <row r="72" ht="12.0" customHeight="1">
      <c r="B72" t="str">
        <f t="shared" si="4"/>
        <v>#REF!</v>
      </c>
      <c r="C72" s="6" t="s">
        <v>185</v>
      </c>
      <c r="D72" s="6" t="s">
        <v>264</v>
      </c>
    </row>
    <row r="73" ht="12.0" customHeight="1">
      <c r="B73" t="str">
        <f t="shared" si="4"/>
        <v>#REF!</v>
      </c>
      <c r="C73" s="6" t="s">
        <v>185</v>
      </c>
      <c r="D73" s="6" t="s">
        <v>265</v>
      </c>
    </row>
    <row r="74" ht="12.0" customHeight="1">
      <c r="B74" t="str">
        <f t="shared" si="4"/>
        <v>#REF!</v>
      </c>
      <c r="C74" s="6" t="s">
        <v>185</v>
      </c>
      <c r="D74" s="6" t="s">
        <v>266</v>
      </c>
    </row>
    <row r="75" ht="12.0" customHeight="1">
      <c r="B75" t="str">
        <f t="shared" si="4"/>
        <v>#REF!</v>
      </c>
      <c r="C75" s="6" t="s">
        <v>185</v>
      </c>
      <c r="D75" s="6" t="s">
        <v>267</v>
      </c>
    </row>
    <row r="76" ht="12.0" customHeight="1">
      <c r="B76" t="str">
        <f t="shared" si="4"/>
        <v>#REF!</v>
      </c>
      <c r="C76" s="6" t="s">
        <v>185</v>
      </c>
      <c r="D76" s="6" t="s">
        <v>268</v>
      </c>
    </row>
    <row r="77" ht="12.0" customHeight="1">
      <c r="B77" t="str">
        <f t="shared" si="4"/>
        <v>#REF!</v>
      </c>
      <c r="C77" s="6" t="s">
        <v>185</v>
      </c>
      <c r="D77" s="6" t="s">
        <v>269</v>
      </c>
    </row>
    <row r="78" ht="12.0" customHeight="1">
      <c r="B78" t="str">
        <f t="shared" si="4"/>
        <v>#REF!</v>
      </c>
      <c r="C78" s="6" t="s">
        <v>185</v>
      </c>
      <c r="D78" s="6" t="s">
        <v>270</v>
      </c>
    </row>
    <row r="79" ht="12.0" customHeight="1">
      <c r="B79" t="str">
        <f t="shared" si="4"/>
        <v>#REF!</v>
      </c>
      <c r="C79" s="6" t="s">
        <v>185</v>
      </c>
      <c r="D79" s="6" t="s">
        <v>271</v>
      </c>
    </row>
    <row r="80" ht="12.0" customHeight="1">
      <c r="B80" t="str">
        <f t="shared" si="4"/>
        <v>#REF!</v>
      </c>
      <c r="C80" s="6" t="s">
        <v>185</v>
      </c>
      <c r="D80" s="6" t="s">
        <v>272</v>
      </c>
    </row>
    <row r="81" ht="12.0" customHeight="1">
      <c r="B81" t="str">
        <f t="shared" si="4"/>
        <v>#REF!</v>
      </c>
      <c r="C81" s="6" t="s">
        <v>185</v>
      </c>
      <c r="D81" s="6" t="s">
        <v>273</v>
      </c>
    </row>
    <row r="82" ht="12.0" customHeight="1">
      <c r="B82" t="str">
        <f t="shared" si="4"/>
        <v>#REF!</v>
      </c>
      <c r="C82" s="6" t="s">
        <v>185</v>
      </c>
      <c r="D82" s="6" t="s">
        <v>274</v>
      </c>
    </row>
    <row r="83" ht="12.0" customHeight="1">
      <c r="B83" t="str">
        <f t="shared" si="4"/>
        <v>#REF!</v>
      </c>
      <c r="C83" s="6" t="s">
        <v>185</v>
      </c>
      <c r="D83" s="6" t="s">
        <v>275</v>
      </c>
    </row>
    <row r="84" ht="12.0" customHeight="1">
      <c r="B84" t="str">
        <f t="shared" si="4"/>
        <v>#REF!</v>
      </c>
      <c r="C84" s="6" t="s">
        <v>185</v>
      </c>
      <c r="D84" s="6" t="s">
        <v>276</v>
      </c>
    </row>
    <row r="85" ht="12.0" customHeight="1">
      <c r="B85" t="str">
        <f t="shared" si="4"/>
        <v>#REF!</v>
      </c>
      <c r="C85" s="6" t="s">
        <v>185</v>
      </c>
      <c r="D85" s="6" t="s">
        <v>277</v>
      </c>
    </row>
    <row r="86" ht="12.0" customHeight="1">
      <c r="B86" t="str">
        <f t="shared" si="4"/>
        <v>#REF!</v>
      </c>
      <c r="C86" s="6" t="s">
        <v>185</v>
      </c>
      <c r="D86" s="6" t="s">
        <v>278</v>
      </c>
    </row>
    <row r="87" ht="12.0" customHeight="1">
      <c r="B87" t="str">
        <f t="shared" si="4"/>
        <v>#REF!</v>
      </c>
      <c r="C87" s="6" t="s">
        <v>185</v>
      </c>
      <c r="D87" s="6" t="s">
        <v>279</v>
      </c>
    </row>
    <row r="88" ht="12.0" customHeight="1">
      <c r="B88" t="str">
        <f t="shared" si="4"/>
        <v>#REF!</v>
      </c>
      <c r="C88" s="6" t="s">
        <v>185</v>
      </c>
      <c r="D88" s="6" t="s">
        <v>280</v>
      </c>
    </row>
    <row r="89" ht="12.0" customHeight="1">
      <c r="B89" t="str">
        <f t="shared" si="4"/>
        <v>#REF!</v>
      </c>
      <c r="C89" s="6" t="s">
        <v>185</v>
      </c>
      <c r="D89" s="6" t="s">
        <v>281</v>
      </c>
    </row>
    <row r="90" ht="12.0" customHeight="1">
      <c r="B90" t="str">
        <f t="shared" si="4"/>
        <v>#REF!</v>
      </c>
      <c r="C90" s="6" t="s">
        <v>185</v>
      </c>
      <c r="D90" s="6" t="s">
        <v>282</v>
      </c>
    </row>
    <row r="91" ht="12.0" customHeight="1">
      <c r="B91" t="str">
        <f t="shared" si="4"/>
        <v>#REF!</v>
      </c>
      <c r="C91" s="6" t="s">
        <v>185</v>
      </c>
      <c r="D91" s="6" t="s">
        <v>283</v>
      </c>
    </row>
    <row r="92" ht="12.0" customHeight="1">
      <c r="B92" t="str">
        <f t="shared" si="4"/>
        <v>#REF!</v>
      </c>
      <c r="C92" s="6" t="s">
        <v>185</v>
      </c>
      <c r="D92" s="6" t="s">
        <v>284</v>
      </c>
    </row>
    <row r="93" ht="12.0" customHeight="1">
      <c r="C93" s="6"/>
    </row>
    <row r="94" ht="12.0" customHeight="1">
      <c r="B94" s="22" t="s">
        <v>174</v>
      </c>
      <c r="C94" s="6"/>
    </row>
    <row r="95" ht="12.0" customHeight="1">
      <c r="B95" s="22" t="s">
        <v>285</v>
      </c>
      <c r="C95" s="6"/>
    </row>
    <row r="96" ht="12.0" customHeight="1">
      <c r="B96" s="22" t="s">
        <v>174</v>
      </c>
      <c r="C96" s="6"/>
    </row>
    <row r="97" ht="12.0" customHeight="1">
      <c r="B97" s="6" t="s">
        <v>179</v>
      </c>
      <c r="C97" s="6" t="s">
        <v>187</v>
      </c>
    </row>
    <row r="98" ht="12.0" customHeight="1">
      <c r="B98" t="str">
        <f t="shared" ref="B98:B109" si="5">round(1/('Exile INPUT'!J94)*100)</f>
        <v>#REF!</v>
      </c>
      <c r="C98" s="6" t="s">
        <v>185</v>
      </c>
      <c r="D98" s="6" t="s">
        <v>286</v>
      </c>
    </row>
    <row r="99" ht="12.0" customHeight="1">
      <c r="B99" t="str">
        <f t="shared" si="5"/>
        <v>#REF!</v>
      </c>
      <c r="C99" s="6" t="s">
        <v>185</v>
      </c>
      <c r="D99" s="6" t="s">
        <v>287</v>
      </c>
    </row>
    <row r="100" ht="12.0" customHeight="1">
      <c r="B100" t="str">
        <f t="shared" si="5"/>
        <v>#REF!</v>
      </c>
      <c r="C100" s="6" t="s">
        <v>185</v>
      </c>
      <c r="D100" s="6" t="s">
        <v>288</v>
      </c>
    </row>
    <row r="101" ht="12.0" customHeight="1">
      <c r="B101" t="str">
        <f t="shared" si="5"/>
        <v>#REF!</v>
      </c>
      <c r="C101" s="6" t="s">
        <v>185</v>
      </c>
      <c r="D101" s="6" t="s">
        <v>289</v>
      </c>
    </row>
    <row r="102" ht="12.0" customHeight="1">
      <c r="B102" t="str">
        <f t="shared" si="5"/>
        <v>#REF!</v>
      </c>
      <c r="C102" s="6" t="s">
        <v>185</v>
      </c>
      <c r="D102" s="6" t="s">
        <v>290</v>
      </c>
    </row>
    <row r="103" ht="12.0" customHeight="1">
      <c r="B103" t="str">
        <f t="shared" si="5"/>
        <v>#REF!</v>
      </c>
      <c r="C103" s="6" t="s">
        <v>185</v>
      </c>
      <c r="D103" s="6" t="s">
        <v>291</v>
      </c>
    </row>
    <row r="104" ht="12.0" customHeight="1">
      <c r="B104" t="str">
        <f t="shared" si="5"/>
        <v>#REF!</v>
      </c>
      <c r="C104" s="6" t="s">
        <v>185</v>
      </c>
      <c r="D104" s="6" t="s">
        <v>292</v>
      </c>
    </row>
    <row r="105" ht="12.0" customHeight="1">
      <c r="B105" t="str">
        <f t="shared" si="5"/>
        <v>#REF!</v>
      </c>
      <c r="C105" s="6" t="s">
        <v>185</v>
      </c>
      <c r="D105" s="6" t="s">
        <v>293</v>
      </c>
    </row>
    <row r="106" ht="12.0" customHeight="1">
      <c r="B106" t="str">
        <f t="shared" si="5"/>
        <v>#REF!</v>
      </c>
      <c r="C106" s="6" t="s">
        <v>185</v>
      </c>
      <c r="D106" s="6" t="s">
        <v>294</v>
      </c>
    </row>
    <row r="107" ht="12.0" customHeight="1">
      <c r="B107" t="str">
        <f t="shared" si="5"/>
        <v>#REF!</v>
      </c>
      <c r="C107" s="6" t="s">
        <v>185</v>
      </c>
      <c r="D107" s="6" t="s">
        <v>295</v>
      </c>
    </row>
    <row r="108" ht="12.0" customHeight="1">
      <c r="B108" t="str">
        <f t="shared" si="5"/>
        <v>#REF!</v>
      </c>
      <c r="C108" s="6" t="s">
        <v>185</v>
      </c>
      <c r="D108" s="6" t="s">
        <v>296</v>
      </c>
    </row>
    <row r="109" ht="12.0" customHeight="1">
      <c r="B109" t="str">
        <f t="shared" si="5"/>
        <v>#REF!</v>
      </c>
      <c r="C109" s="6" t="s">
        <v>185</v>
      </c>
      <c r="D109" s="6" t="s">
        <v>298</v>
      </c>
    </row>
    <row r="110" ht="12.0" customHeight="1">
      <c r="A110" s="6"/>
      <c r="B110" t="str">
        <f t="shared" ref="B110:B117" si="6">round(1/('Exile INPUT'!J116)*100)</f>
        <v>#REF!</v>
      </c>
      <c r="C110" s="6" t="s">
        <v>185</v>
      </c>
      <c r="D110" s="6" t="s">
        <v>300</v>
      </c>
    </row>
    <row r="111" ht="12.0" customHeight="1">
      <c r="B111" t="str">
        <f t="shared" si="6"/>
        <v>#REF!</v>
      </c>
      <c r="C111" s="6" t="s">
        <v>185</v>
      </c>
      <c r="D111" s="6" t="s">
        <v>302</v>
      </c>
    </row>
    <row r="112" ht="12.0" customHeight="1">
      <c r="B112" t="str">
        <f t="shared" si="6"/>
        <v>#REF!</v>
      </c>
      <c r="C112" s="6" t="s">
        <v>185</v>
      </c>
      <c r="D112" s="6" t="s">
        <v>303</v>
      </c>
    </row>
    <row r="113" ht="12.0" customHeight="1">
      <c r="B113" t="str">
        <f t="shared" si="6"/>
        <v>#REF!</v>
      </c>
      <c r="C113" s="6" t="s">
        <v>185</v>
      </c>
      <c r="D113" s="6" t="s">
        <v>305</v>
      </c>
    </row>
    <row r="114" ht="12.0" customHeight="1">
      <c r="B114" t="str">
        <f t="shared" si="6"/>
        <v>#REF!</v>
      </c>
      <c r="C114" s="6" t="s">
        <v>185</v>
      </c>
      <c r="D114" s="6" t="s">
        <v>306</v>
      </c>
    </row>
    <row r="115" ht="12.0" customHeight="1">
      <c r="B115" t="str">
        <f t="shared" si="6"/>
        <v>#REF!</v>
      </c>
      <c r="C115" s="6" t="s">
        <v>185</v>
      </c>
      <c r="D115" s="6" t="s">
        <v>308</v>
      </c>
    </row>
    <row r="116" ht="12.0" customHeight="1">
      <c r="B116" t="str">
        <f t="shared" si="6"/>
        <v>#REF!</v>
      </c>
      <c r="C116" s="6" t="s">
        <v>185</v>
      </c>
      <c r="D116" s="6" t="s">
        <v>309</v>
      </c>
    </row>
    <row r="117" ht="12.0" customHeight="1">
      <c r="B117" t="str">
        <f t="shared" si="6"/>
        <v>#REF!</v>
      </c>
      <c r="C117" s="6" t="s">
        <v>185</v>
      </c>
      <c r="D117" s="6" t="s">
        <v>311</v>
      </c>
    </row>
    <row r="118" ht="12.0" customHeight="1">
      <c r="A118" s="6"/>
      <c r="B118" t="str">
        <f t="shared" ref="B118:B125" si="7">round(1/('Exile INPUT'!J132)*100)</f>
        <v>#REF!</v>
      </c>
      <c r="C118" s="6" t="s">
        <v>185</v>
      </c>
      <c r="D118" s="6" t="s">
        <v>313</v>
      </c>
    </row>
    <row r="119" ht="12.0" customHeight="1">
      <c r="B119" t="str">
        <f t="shared" si="7"/>
        <v>#REF!</v>
      </c>
      <c r="C119" s="6" t="s">
        <v>185</v>
      </c>
      <c r="D119" s="6" t="s">
        <v>315</v>
      </c>
    </row>
    <row r="120" ht="12.0" customHeight="1">
      <c r="B120" t="str">
        <f t="shared" si="7"/>
        <v>#REF!</v>
      </c>
      <c r="C120" s="6" t="s">
        <v>185</v>
      </c>
      <c r="D120" s="6" t="s">
        <v>316</v>
      </c>
    </row>
    <row r="121" ht="12.0" customHeight="1">
      <c r="B121" t="str">
        <f t="shared" si="7"/>
        <v>#REF!</v>
      </c>
      <c r="C121" s="6" t="s">
        <v>185</v>
      </c>
      <c r="D121" s="6" t="s">
        <v>317</v>
      </c>
    </row>
    <row r="122" ht="12.0" customHeight="1">
      <c r="B122" t="str">
        <f t="shared" si="7"/>
        <v>#REF!</v>
      </c>
      <c r="C122" s="6" t="s">
        <v>185</v>
      </c>
      <c r="D122" s="6" t="s">
        <v>319</v>
      </c>
    </row>
    <row r="123" ht="12.0" customHeight="1">
      <c r="B123" t="str">
        <f t="shared" si="7"/>
        <v>#REF!</v>
      </c>
      <c r="C123" s="6" t="s">
        <v>185</v>
      </c>
      <c r="D123" s="6" t="s">
        <v>320</v>
      </c>
    </row>
    <row r="124" ht="12.0" customHeight="1">
      <c r="B124" t="str">
        <f t="shared" si="7"/>
        <v>#REF!</v>
      </c>
      <c r="C124" s="6" t="s">
        <v>185</v>
      </c>
      <c r="D124" s="6" t="s">
        <v>322</v>
      </c>
    </row>
    <row r="125" ht="12.0" customHeight="1">
      <c r="B125" t="str">
        <f t="shared" si="7"/>
        <v>#REF!</v>
      </c>
      <c r="C125" s="6" t="s">
        <v>185</v>
      </c>
      <c r="D125" s="6" t="s">
        <v>323</v>
      </c>
    </row>
    <row r="126" ht="12.0" customHeight="1">
      <c r="A126" s="6"/>
      <c r="B126" t="str">
        <f t="shared" ref="B126:B132" si="8">round(1/('Exile INPUT'!J149)*100)</f>
        <v>#REF!</v>
      </c>
      <c r="C126" s="6" t="s">
        <v>185</v>
      </c>
      <c r="D126" s="6" t="s">
        <v>326</v>
      </c>
    </row>
    <row r="127" ht="12.0" customHeight="1">
      <c r="B127" t="str">
        <f t="shared" si="8"/>
        <v>#REF!</v>
      </c>
      <c r="C127" s="6" t="s">
        <v>185</v>
      </c>
      <c r="D127" s="6" t="s">
        <v>327</v>
      </c>
    </row>
    <row r="128" ht="12.0" customHeight="1">
      <c r="B128" t="str">
        <f t="shared" si="8"/>
        <v>#REF!</v>
      </c>
      <c r="C128" s="6" t="s">
        <v>185</v>
      </c>
      <c r="D128" s="6" t="s">
        <v>329</v>
      </c>
    </row>
    <row r="129" ht="12.0" customHeight="1">
      <c r="B129" t="str">
        <f t="shared" si="8"/>
        <v>#REF!</v>
      </c>
      <c r="C129" s="6" t="s">
        <v>185</v>
      </c>
      <c r="D129" s="6" t="s">
        <v>330</v>
      </c>
    </row>
    <row r="130" ht="12.0" customHeight="1">
      <c r="B130" t="str">
        <f t="shared" si="8"/>
        <v>#REF!</v>
      </c>
      <c r="C130" s="6" t="s">
        <v>185</v>
      </c>
      <c r="D130" s="6" t="s">
        <v>332</v>
      </c>
    </row>
    <row r="131" ht="12.0" customHeight="1">
      <c r="B131" t="str">
        <f t="shared" si="8"/>
        <v>#REF!</v>
      </c>
      <c r="C131" s="6" t="s">
        <v>185</v>
      </c>
      <c r="D131" s="6" t="s">
        <v>333</v>
      </c>
    </row>
    <row r="132" ht="12.0" customHeight="1">
      <c r="B132" t="str">
        <f t="shared" si="8"/>
        <v>#REF!</v>
      </c>
      <c r="C132" s="6" t="s">
        <v>185</v>
      </c>
      <c r="D132" s="6" t="s">
        <v>334</v>
      </c>
    </row>
    <row r="133" ht="12.0" customHeight="1">
      <c r="C133" s="6"/>
    </row>
    <row r="134" ht="12.0" customHeight="1">
      <c r="B134" s="6" t="s">
        <v>179</v>
      </c>
      <c r="C134" s="6" t="s">
        <v>190</v>
      </c>
    </row>
    <row r="135" ht="12.0" customHeight="1">
      <c r="B135" t="str">
        <f t="shared" ref="B135:B144" si="9">round(1/('Exile INPUT'!J106)*100)</f>
        <v>#REF!</v>
      </c>
      <c r="C135" s="6" t="s">
        <v>185</v>
      </c>
      <c r="D135" s="6" t="s">
        <v>337</v>
      </c>
    </row>
    <row r="136" ht="12.0" customHeight="1">
      <c r="B136" t="str">
        <f t="shared" si="9"/>
        <v>#REF!</v>
      </c>
      <c r="C136" s="6" t="s">
        <v>185</v>
      </c>
      <c r="D136" s="6" t="s">
        <v>339</v>
      </c>
    </row>
    <row r="137" ht="12.0" customHeight="1">
      <c r="B137" t="str">
        <f t="shared" si="9"/>
        <v>#REF!</v>
      </c>
      <c r="C137" s="6" t="s">
        <v>185</v>
      </c>
      <c r="D137" s="6" t="s">
        <v>341</v>
      </c>
    </row>
    <row r="138" ht="12.0" customHeight="1">
      <c r="B138" t="str">
        <f t="shared" si="9"/>
        <v>#REF!</v>
      </c>
      <c r="C138" s="6" t="s">
        <v>185</v>
      </c>
      <c r="D138" s="6" t="s">
        <v>342</v>
      </c>
    </row>
    <row r="139" ht="12.0" customHeight="1">
      <c r="B139" t="str">
        <f t="shared" si="9"/>
        <v>#REF!</v>
      </c>
      <c r="C139" s="6" t="s">
        <v>185</v>
      </c>
      <c r="D139" s="6" t="s">
        <v>343</v>
      </c>
    </row>
    <row r="140" ht="12.0" customHeight="1">
      <c r="B140" t="str">
        <f t="shared" si="9"/>
        <v>#REF!</v>
      </c>
      <c r="C140" s="6" t="s">
        <v>185</v>
      </c>
      <c r="D140" s="6" t="s">
        <v>344</v>
      </c>
    </row>
    <row r="141" ht="12.0" customHeight="1">
      <c r="B141" t="str">
        <f t="shared" si="9"/>
        <v>#REF!</v>
      </c>
      <c r="C141" s="6" t="s">
        <v>185</v>
      </c>
      <c r="D141" s="6" t="s">
        <v>345</v>
      </c>
    </row>
    <row r="142" ht="12.0" customHeight="1">
      <c r="B142" t="str">
        <f t="shared" si="9"/>
        <v>#REF!</v>
      </c>
      <c r="C142" s="6" t="s">
        <v>185</v>
      </c>
      <c r="D142" s="6" t="s">
        <v>347</v>
      </c>
    </row>
    <row r="143" ht="12.0" customHeight="1">
      <c r="B143" t="str">
        <f t="shared" si="9"/>
        <v>#REF!</v>
      </c>
      <c r="C143" s="6" t="s">
        <v>185</v>
      </c>
      <c r="D143" s="6" t="s">
        <v>348</v>
      </c>
    </row>
    <row r="144" ht="12.0" customHeight="1">
      <c r="B144" t="str">
        <f t="shared" si="9"/>
        <v>#REF!</v>
      </c>
      <c r="C144" s="6" t="s">
        <v>185</v>
      </c>
      <c r="D144" s="6" t="s">
        <v>350</v>
      </c>
    </row>
    <row r="145" ht="12.0" customHeight="1">
      <c r="A145" s="6"/>
      <c r="B145" t="str">
        <f t="shared" ref="B145:B152" si="10">round(1/('Exile INPUT'!J124)*100)</f>
        <v>#REF!</v>
      </c>
      <c r="C145" s="6" t="s">
        <v>185</v>
      </c>
      <c r="D145" s="6" t="s">
        <v>352</v>
      </c>
    </row>
    <row r="146" ht="12.0" customHeight="1">
      <c r="B146" t="str">
        <f t="shared" si="10"/>
        <v>#REF!</v>
      </c>
      <c r="C146" s="6" t="s">
        <v>185</v>
      </c>
      <c r="D146" s="6" t="s">
        <v>354</v>
      </c>
    </row>
    <row r="147" ht="12.0" customHeight="1">
      <c r="B147" t="str">
        <f t="shared" si="10"/>
        <v>#REF!</v>
      </c>
      <c r="C147" s="6" t="s">
        <v>185</v>
      </c>
      <c r="D147" s="6" t="s">
        <v>356</v>
      </c>
    </row>
    <row r="148" ht="12.0" customHeight="1">
      <c r="B148" t="str">
        <f t="shared" si="10"/>
        <v>#REF!</v>
      </c>
      <c r="C148" s="6" t="s">
        <v>185</v>
      </c>
      <c r="D148" s="6" t="s">
        <v>357</v>
      </c>
    </row>
    <row r="149" ht="12.0" customHeight="1">
      <c r="B149" t="str">
        <f t="shared" si="10"/>
        <v>#REF!</v>
      </c>
      <c r="C149" s="6" t="s">
        <v>185</v>
      </c>
      <c r="D149" s="6" t="s">
        <v>359</v>
      </c>
    </row>
    <row r="150" ht="12.0" customHeight="1">
      <c r="B150" t="str">
        <f t="shared" si="10"/>
        <v>#REF!</v>
      </c>
      <c r="C150" s="6" t="s">
        <v>185</v>
      </c>
      <c r="D150" s="6" t="s">
        <v>360</v>
      </c>
    </row>
    <row r="151" ht="12.0" customHeight="1">
      <c r="B151" t="str">
        <f t="shared" si="10"/>
        <v>#REF!</v>
      </c>
      <c r="C151" s="6" t="s">
        <v>185</v>
      </c>
      <c r="D151" s="6" t="s">
        <v>362</v>
      </c>
    </row>
    <row r="152" ht="12.0" customHeight="1">
      <c r="B152" t="str">
        <f t="shared" si="10"/>
        <v>#REF!</v>
      </c>
      <c r="C152" s="6" t="s">
        <v>185</v>
      </c>
      <c r="D152" s="6" t="s">
        <v>363</v>
      </c>
    </row>
    <row r="153" ht="12.0" customHeight="1">
      <c r="A153" s="6"/>
      <c r="B153" t="str">
        <f t="shared" ref="B153:B161" si="11">round(1/('Exile INPUT'!J140)*100)</f>
        <v>#REF!</v>
      </c>
      <c r="C153" s="6" t="s">
        <v>185</v>
      </c>
      <c r="D153" s="6" t="s">
        <v>366</v>
      </c>
    </row>
    <row r="154" ht="12.0" customHeight="1">
      <c r="B154" t="str">
        <f t="shared" si="11"/>
        <v>#REF!</v>
      </c>
      <c r="C154" s="6" t="s">
        <v>185</v>
      </c>
      <c r="D154" s="6" t="s">
        <v>367</v>
      </c>
    </row>
    <row r="155" ht="12.0" customHeight="1">
      <c r="B155" t="str">
        <f t="shared" si="11"/>
        <v>#REF!</v>
      </c>
      <c r="C155" s="6" t="s">
        <v>185</v>
      </c>
      <c r="D155" s="6" t="s">
        <v>369</v>
      </c>
    </row>
    <row r="156" ht="12.0" customHeight="1">
      <c r="B156" t="str">
        <f t="shared" si="11"/>
        <v>#REF!</v>
      </c>
      <c r="C156" s="6" t="s">
        <v>185</v>
      </c>
      <c r="D156" s="6" t="s">
        <v>370</v>
      </c>
    </row>
    <row r="157" ht="12.0" customHeight="1">
      <c r="B157" t="str">
        <f t="shared" si="11"/>
        <v>#REF!</v>
      </c>
      <c r="C157" s="6" t="s">
        <v>185</v>
      </c>
      <c r="D157" s="6" t="s">
        <v>372</v>
      </c>
    </row>
    <row r="158" ht="12.0" customHeight="1">
      <c r="B158" t="str">
        <f t="shared" si="11"/>
        <v>#REF!</v>
      </c>
      <c r="C158" s="6" t="s">
        <v>185</v>
      </c>
      <c r="D158" s="6" t="s">
        <v>373</v>
      </c>
    </row>
    <row r="159" ht="12.0" customHeight="1">
      <c r="B159" t="str">
        <f t="shared" si="11"/>
        <v>#REF!</v>
      </c>
      <c r="C159" s="6" t="s">
        <v>185</v>
      </c>
      <c r="D159" s="6" t="s">
        <v>375</v>
      </c>
    </row>
    <row r="160" ht="12.0" customHeight="1">
      <c r="B160" t="str">
        <f t="shared" si="11"/>
        <v>#REF!</v>
      </c>
      <c r="C160" s="6" t="s">
        <v>185</v>
      </c>
      <c r="D160" s="6" t="s">
        <v>376</v>
      </c>
    </row>
    <row r="161" ht="12.0" customHeight="1">
      <c r="B161" t="str">
        <f t="shared" si="11"/>
        <v>#REF!</v>
      </c>
      <c r="C161" s="6" t="s">
        <v>185</v>
      </c>
      <c r="D161" s="6" t="s">
        <v>378</v>
      </c>
    </row>
    <row r="162" ht="12.0" customHeight="1">
      <c r="C162" s="6"/>
    </row>
    <row r="163" ht="12.0" customHeight="1">
      <c r="B163" s="22" t="s">
        <v>174</v>
      </c>
      <c r="C163" s="6"/>
    </row>
    <row r="164" ht="12.0" customHeight="1">
      <c r="B164" s="22" t="s">
        <v>379</v>
      </c>
      <c r="C164" s="6"/>
    </row>
    <row r="165" ht="12.0" customHeight="1">
      <c r="B165" s="22" t="s">
        <v>174</v>
      </c>
      <c r="C165" s="6"/>
    </row>
    <row r="166" ht="12.0" customHeight="1">
      <c r="B166" s="6" t="s">
        <v>179</v>
      </c>
      <c r="C166" s="6" t="s">
        <v>192</v>
      </c>
    </row>
    <row r="167" ht="12.0" customHeight="1">
      <c r="B167" t="str">
        <f t="shared" ref="B167:B206" si="12">round(1/('Exile INPUT'!J160)*1000)</f>
        <v>#REF!</v>
      </c>
      <c r="C167" s="6" t="s">
        <v>185</v>
      </c>
      <c r="D167" s="6" t="s">
        <v>382</v>
      </c>
    </row>
    <row r="168" ht="12.0" customHeight="1">
      <c r="B168" t="str">
        <f t="shared" si="12"/>
        <v>#REF!</v>
      </c>
      <c r="C168" s="6" t="s">
        <v>185</v>
      </c>
      <c r="D168" s="6" t="s">
        <v>384</v>
      </c>
    </row>
    <row r="169" ht="12.0" customHeight="1">
      <c r="B169" t="str">
        <f t="shared" si="12"/>
        <v>#REF!</v>
      </c>
      <c r="C169" s="6" t="s">
        <v>185</v>
      </c>
      <c r="D169" s="6" t="s">
        <v>386</v>
      </c>
    </row>
    <row r="170" ht="12.0" customHeight="1">
      <c r="B170" t="str">
        <f t="shared" si="12"/>
        <v>#REF!</v>
      </c>
      <c r="C170" s="6" t="s">
        <v>185</v>
      </c>
      <c r="D170" s="6" t="s">
        <v>387</v>
      </c>
    </row>
    <row r="171" ht="12.0" customHeight="1">
      <c r="B171" t="str">
        <f t="shared" si="12"/>
        <v>#REF!</v>
      </c>
      <c r="C171" s="6" t="s">
        <v>185</v>
      </c>
      <c r="D171" s="6" t="s">
        <v>389</v>
      </c>
    </row>
    <row r="172" ht="12.0" customHeight="1">
      <c r="B172" t="str">
        <f t="shared" si="12"/>
        <v>#REF!</v>
      </c>
      <c r="C172" s="6" t="s">
        <v>185</v>
      </c>
      <c r="D172" s="6" t="s">
        <v>390</v>
      </c>
    </row>
    <row r="173" ht="12.0" customHeight="1">
      <c r="B173" t="str">
        <f t="shared" si="12"/>
        <v>#REF!</v>
      </c>
      <c r="C173" s="6" t="s">
        <v>185</v>
      </c>
      <c r="D173" s="6" t="s">
        <v>392</v>
      </c>
    </row>
    <row r="174" ht="12.0" customHeight="1">
      <c r="B174" t="str">
        <f t="shared" si="12"/>
        <v>#REF!</v>
      </c>
      <c r="C174" s="6" t="s">
        <v>185</v>
      </c>
      <c r="D174" s="6" t="s">
        <v>393</v>
      </c>
    </row>
    <row r="175" ht="12.0" customHeight="1">
      <c r="B175" t="str">
        <f t="shared" si="12"/>
        <v>#REF!</v>
      </c>
      <c r="C175" s="6" t="s">
        <v>185</v>
      </c>
      <c r="D175" s="6" t="s">
        <v>395</v>
      </c>
    </row>
    <row r="176" ht="12.0" customHeight="1">
      <c r="B176" t="str">
        <f t="shared" si="12"/>
        <v>#REF!</v>
      </c>
      <c r="C176" s="6" t="s">
        <v>185</v>
      </c>
      <c r="D176" s="6" t="s">
        <v>396</v>
      </c>
    </row>
    <row r="177" ht="12.0" customHeight="1">
      <c r="B177" t="str">
        <f t="shared" si="12"/>
        <v>#REF!</v>
      </c>
      <c r="C177" s="6" t="s">
        <v>185</v>
      </c>
      <c r="D177" s="6" t="s">
        <v>398</v>
      </c>
    </row>
    <row r="178" ht="12.0" customHeight="1">
      <c r="B178" t="str">
        <f t="shared" si="12"/>
        <v>#REF!</v>
      </c>
      <c r="C178" s="6" t="s">
        <v>185</v>
      </c>
      <c r="D178" s="6" t="s">
        <v>399</v>
      </c>
    </row>
    <row r="179" ht="12.0" customHeight="1">
      <c r="B179" t="str">
        <f t="shared" si="12"/>
        <v>#REF!</v>
      </c>
      <c r="C179" s="6" t="s">
        <v>185</v>
      </c>
      <c r="D179" s="6" t="s">
        <v>400</v>
      </c>
    </row>
    <row r="180" ht="12.0" customHeight="1">
      <c r="B180" t="str">
        <f t="shared" si="12"/>
        <v>#REF!</v>
      </c>
      <c r="C180" s="6" t="s">
        <v>185</v>
      </c>
      <c r="D180" s="6" t="s">
        <v>401</v>
      </c>
    </row>
    <row r="181" ht="12.0" customHeight="1">
      <c r="B181" t="str">
        <f t="shared" si="12"/>
        <v>#REF!</v>
      </c>
      <c r="C181" s="6" t="s">
        <v>185</v>
      </c>
      <c r="D181" s="6" t="s">
        <v>402</v>
      </c>
    </row>
    <row r="182" ht="12.0" customHeight="1">
      <c r="B182" t="str">
        <f t="shared" si="12"/>
        <v>#REF!</v>
      </c>
      <c r="C182" s="6" t="s">
        <v>185</v>
      </c>
      <c r="D182" s="6" t="s">
        <v>403</v>
      </c>
    </row>
    <row r="183" ht="12.0" customHeight="1">
      <c r="B183" t="str">
        <f t="shared" si="12"/>
        <v>#REF!</v>
      </c>
      <c r="C183" s="6" t="s">
        <v>185</v>
      </c>
      <c r="D183" s="6" t="s">
        <v>404</v>
      </c>
    </row>
    <row r="184" ht="12.0" customHeight="1">
      <c r="B184" t="str">
        <f t="shared" si="12"/>
        <v>#REF!</v>
      </c>
      <c r="C184" s="6" t="s">
        <v>185</v>
      </c>
      <c r="D184" s="6" t="s">
        <v>405</v>
      </c>
    </row>
    <row r="185" ht="12.0" customHeight="1">
      <c r="B185" t="str">
        <f t="shared" si="12"/>
        <v>#REF!</v>
      </c>
      <c r="C185" s="6" t="s">
        <v>185</v>
      </c>
      <c r="D185" s="6" t="s">
        <v>406</v>
      </c>
    </row>
    <row r="186" ht="12.0" customHeight="1">
      <c r="B186" t="str">
        <f t="shared" si="12"/>
        <v>#REF!</v>
      </c>
      <c r="C186" s="6" t="s">
        <v>185</v>
      </c>
      <c r="D186" s="6" t="s">
        <v>407</v>
      </c>
    </row>
    <row r="187" ht="12.0" customHeight="1">
      <c r="B187" t="str">
        <f t="shared" si="12"/>
        <v>#REF!</v>
      </c>
      <c r="C187" s="6" t="s">
        <v>185</v>
      </c>
      <c r="D187" s="6" t="s">
        <v>408</v>
      </c>
    </row>
    <row r="188" ht="12.0" customHeight="1">
      <c r="B188" t="str">
        <f t="shared" si="12"/>
        <v>#REF!</v>
      </c>
      <c r="C188" s="6" t="s">
        <v>185</v>
      </c>
      <c r="D188" s="6" t="s">
        <v>409</v>
      </c>
    </row>
    <row r="189" ht="12.0" customHeight="1">
      <c r="B189" t="str">
        <f t="shared" si="12"/>
        <v>#REF!</v>
      </c>
      <c r="C189" s="6" t="s">
        <v>185</v>
      </c>
      <c r="D189" s="6" t="s">
        <v>410</v>
      </c>
    </row>
    <row r="190" ht="12.0" customHeight="1">
      <c r="B190" t="str">
        <f t="shared" si="12"/>
        <v>#REF!</v>
      </c>
      <c r="C190" s="6" t="s">
        <v>185</v>
      </c>
      <c r="D190" s="6" t="s">
        <v>411</v>
      </c>
    </row>
    <row r="191" ht="12.0" customHeight="1">
      <c r="B191" t="str">
        <f t="shared" si="12"/>
        <v>#REF!</v>
      </c>
      <c r="C191" s="6" t="s">
        <v>185</v>
      </c>
      <c r="D191" s="6" t="s">
        <v>412</v>
      </c>
    </row>
    <row r="192" ht="12.0" customHeight="1">
      <c r="B192" t="str">
        <f t="shared" si="12"/>
        <v>#REF!</v>
      </c>
      <c r="C192" s="6" t="s">
        <v>185</v>
      </c>
      <c r="D192" s="6" t="s">
        <v>413</v>
      </c>
    </row>
    <row r="193" ht="12.0" customHeight="1">
      <c r="B193" t="str">
        <f t="shared" si="12"/>
        <v>#REF!</v>
      </c>
      <c r="C193" s="6" t="s">
        <v>185</v>
      </c>
      <c r="D193" s="6" t="s">
        <v>414</v>
      </c>
    </row>
    <row r="194" ht="12.0" customHeight="1">
      <c r="B194" t="str">
        <f t="shared" si="12"/>
        <v>#REF!</v>
      </c>
      <c r="C194" s="6" t="s">
        <v>185</v>
      </c>
      <c r="D194" s="6" t="s">
        <v>415</v>
      </c>
    </row>
    <row r="195" ht="12.0" customHeight="1">
      <c r="B195" t="str">
        <f t="shared" si="12"/>
        <v>#REF!</v>
      </c>
      <c r="C195" s="6" t="s">
        <v>185</v>
      </c>
      <c r="D195" s="6" t="s">
        <v>416</v>
      </c>
    </row>
    <row r="196" ht="12.0" customHeight="1">
      <c r="B196" t="str">
        <f t="shared" si="12"/>
        <v>#REF!</v>
      </c>
      <c r="C196" s="6" t="s">
        <v>185</v>
      </c>
      <c r="D196" s="6" t="s">
        <v>417</v>
      </c>
    </row>
    <row r="197" ht="12.0" customHeight="1">
      <c r="B197" t="str">
        <f t="shared" si="12"/>
        <v>#REF!</v>
      </c>
      <c r="C197" s="6" t="s">
        <v>185</v>
      </c>
      <c r="D197" s="6" t="s">
        <v>418</v>
      </c>
    </row>
    <row r="198" ht="12.0" customHeight="1">
      <c r="B198" t="str">
        <f t="shared" si="12"/>
        <v>#REF!</v>
      </c>
      <c r="C198" s="6" t="s">
        <v>185</v>
      </c>
      <c r="D198" s="6" t="s">
        <v>419</v>
      </c>
    </row>
    <row r="199" ht="12.0" customHeight="1">
      <c r="B199" t="str">
        <f t="shared" si="12"/>
        <v>#REF!</v>
      </c>
      <c r="C199" s="6" t="s">
        <v>185</v>
      </c>
      <c r="D199" s="6" t="s">
        <v>420</v>
      </c>
    </row>
    <row r="200" ht="12.0" customHeight="1">
      <c r="B200" t="str">
        <f t="shared" si="12"/>
        <v>#REF!</v>
      </c>
      <c r="C200" s="6" t="s">
        <v>185</v>
      </c>
      <c r="D200" s="6" t="s">
        <v>421</v>
      </c>
    </row>
    <row r="201" ht="12.0" customHeight="1">
      <c r="B201" t="str">
        <f t="shared" si="12"/>
        <v>#REF!</v>
      </c>
      <c r="C201" s="6" t="s">
        <v>185</v>
      </c>
      <c r="D201" s="6" t="s">
        <v>422</v>
      </c>
    </row>
    <row r="202" ht="12.0" customHeight="1">
      <c r="B202" t="str">
        <f t="shared" si="12"/>
        <v>#REF!</v>
      </c>
      <c r="C202" s="6" t="s">
        <v>185</v>
      </c>
      <c r="D202" s="6" t="s">
        <v>423</v>
      </c>
    </row>
    <row r="203" ht="12.0" customHeight="1">
      <c r="B203" t="str">
        <f t="shared" si="12"/>
        <v>#REF!</v>
      </c>
      <c r="C203" s="6" t="s">
        <v>185</v>
      </c>
      <c r="D203" s="6" t="s">
        <v>424</v>
      </c>
    </row>
    <row r="204" ht="12.0" customHeight="1">
      <c r="B204" t="str">
        <f t="shared" si="12"/>
        <v>#REF!</v>
      </c>
      <c r="C204" s="6" t="s">
        <v>185</v>
      </c>
      <c r="D204" s="6" t="s">
        <v>425</v>
      </c>
    </row>
    <row r="205" ht="12.0" customHeight="1">
      <c r="B205" t="str">
        <f t="shared" si="12"/>
        <v>#REF!</v>
      </c>
      <c r="C205" s="6" t="s">
        <v>185</v>
      </c>
      <c r="D205" s="6" t="s">
        <v>426</v>
      </c>
    </row>
    <row r="206" ht="12.0" customHeight="1">
      <c r="B206" t="str">
        <f t="shared" si="12"/>
        <v>#REF!</v>
      </c>
      <c r="C206" s="6" t="s">
        <v>185</v>
      </c>
      <c r="D206" s="6" t="s">
        <v>427</v>
      </c>
    </row>
    <row r="207" ht="12.0" customHeight="1">
      <c r="C207" s="6"/>
    </row>
    <row r="208" ht="12.0" customHeight="1">
      <c r="B208" s="22" t="s">
        <v>174</v>
      </c>
      <c r="C208" s="6"/>
    </row>
    <row r="209" ht="12.0" customHeight="1">
      <c r="B209" s="22" t="s">
        <v>428</v>
      </c>
      <c r="C209" s="6"/>
    </row>
    <row r="210" ht="12.0" customHeight="1">
      <c r="B210" s="22" t="s">
        <v>174</v>
      </c>
      <c r="C210" s="6"/>
    </row>
    <row r="211" ht="12.0" customHeight="1">
      <c r="B211" s="6" t="s">
        <v>179</v>
      </c>
      <c r="C211" s="6" t="s">
        <v>195</v>
      </c>
    </row>
    <row r="212" ht="12.0" customHeight="1">
      <c r="B212" t="str">
        <f t="shared" ref="B212:B227" si="13">round(1/('Exile INPUT'!J205)*1000)</f>
        <v>#REF!</v>
      </c>
      <c r="C212" s="6" t="s">
        <v>185</v>
      </c>
      <c r="D212" s="6" t="s">
        <v>429</v>
      </c>
    </row>
    <row r="213" ht="12.0" customHeight="1">
      <c r="B213" t="str">
        <f t="shared" si="13"/>
        <v>#REF!</v>
      </c>
      <c r="C213" s="6" t="s">
        <v>185</v>
      </c>
      <c r="D213" s="6" t="s">
        <v>430</v>
      </c>
    </row>
    <row r="214" ht="12.0" customHeight="1">
      <c r="B214" t="str">
        <f t="shared" si="13"/>
        <v>#REF!</v>
      </c>
      <c r="C214" s="6" t="s">
        <v>185</v>
      </c>
      <c r="D214" s="6" t="s">
        <v>431</v>
      </c>
    </row>
    <row r="215" ht="12.0" customHeight="1">
      <c r="B215" t="str">
        <f t="shared" si="13"/>
        <v>#REF!</v>
      </c>
      <c r="C215" s="6" t="s">
        <v>185</v>
      </c>
      <c r="D215" s="6" t="s">
        <v>432</v>
      </c>
    </row>
    <row r="216" ht="12.0" customHeight="1">
      <c r="B216" t="str">
        <f t="shared" si="13"/>
        <v>#REF!</v>
      </c>
      <c r="C216" s="6" t="s">
        <v>185</v>
      </c>
      <c r="D216" s="6" t="s">
        <v>433</v>
      </c>
    </row>
    <row r="217" ht="12.0" customHeight="1">
      <c r="B217" t="str">
        <f t="shared" si="13"/>
        <v>#REF!</v>
      </c>
      <c r="C217" s="6" t="s">
        <v>185</v>
      </c>
      <c r="D217" s="6" t="s">
        <v>434</v>
      </c>
    </row>
    <row r="218" ht="12.0" customHeight="1">
      <c r="B218" t="str">
        <f t="shared" si="13"/>
        <v>#REF!</v>
      </c>
      <c r="C218" s="6" t="s">
        <v>185</v>
      </c>
      <c r="D218" s="6" t="s">
        <v>435</v>
      </c>
    </row>
    <row r="219" ht="12.0" customHeight="1">
      <c r="B219" t="str">
        <f t="shared" si="13"/>
        <v>#REF!</v>
      </c>
      <c r="C219" s="6" t="s">
        <v>185</v>
      </c>
      <c r="D219" s="6" t="s">
        <v>436</v>
      </c>
    </row>
    <row r="220" ht="12.0" customHeight="1">
      <c r="B220" t="str">
        <f t="shared" si="13"/>
        <v>#REF!</v>
      </c>
      <c r="C220" s="6" t="s">
        <v>185</v>
      </c>
      <c r="D220" s="6" t="s">
        <v>437</v>
      </c>
    </row>
    <row r="221" ht="12.0" customHeight="1">
      <c r="B221" t="str">
        <f t="shared" si="13"/>
        <v>#REF!</v>
      </c>
      <c r="C221" s="6" t="s">
        <v>185</v>
      </c>
      <c r="D221" s="6" t="s">
        <v>438</v>
      </c>
    </row>
    <row r="222" ht="12.0" customHeight="1">
      <c r="B222" t="str">
        <f t="shared" si="13"/>
        <v>#REF!</v>
      </c>
      <c r="C222" s="6" t="s">
        <v>185</v>
      </c>
      <c r="D222" s="6" t="s">
        <v>439</v>
      </c>
    </row>
    <row r="223" ht="12.0" customHeight="1">
      <c r="B223" t="str">
        <f t="shared" si="13"/>
        <v>#REF!</v>
      </c>
      <c r="C223" s="6" t="s">
        <v>185</v>
      </c>
      <c r="D223" s="6" t="s">
        <v>440</v>
      </c>
    </row>
    <row r="224" ht="12.0" customHeight="1">
      <c r="B224" t="str">
        <f t="shared" si="13"/>
        <v>#REF!</v>
      </c>
      <c r="C224" s="6" t="s">
        <v>185</v>
      </c>
      <c r="D224" s="6" t="s">
        <v>441</v>
      </c>
    </row>
    <row r="225" ht="12.0" customHeight="1">
      <c r="B225" t="str">
        <f t="shared" si="13"/>
        <v>#REF!</v>
      </c>
      <c r="C225" s="6" t="s">
        <v>185</v>
      </c>
      <c r="D225" s="6" t="s">
        <v>442</v>
      </c>
    </row>
    <row r="226" ht="12.0" customHeight="1">
      <c r="B226" t="str">
        <f t="shared" si="13"/>
        <v>#REF!</v>
      </c>
      <c r="C226" s="6" t="s">
        <v>185</v>
      </c>
      <c r="D226" s="6" t="s">
        <v>443</v>
      </c>
    </row>
    <row r="227" ht="12.0" customHeight="1">
      <c r="B227" t="str">
        <f t="shared" si="13"/>
        <v>#REF!</v>
      </c>
      <c r="C227" s="6" t="s">
        <v>185</v>
      </c>
      <c r="D227" s="6" t="s">
        <v>444</v>
      </c>
    </row>
    <row r="228" ht="12.0" customHeight="1">
      <c r="C228" s="6"/>
    </row>
    <row r="229" ht="12.0" customHeight="1">
      <c r="B229" s="22" t="s">
        <v>174</v>
      </c>
      <c r="C229" s="6"/>
    </row>
    <row r="230" ht="12.0" customHeight="1">
      <c r="B230" s="22" t="s">
        <v>445</v>
      </c>
      <c r="C230" s="6"/>
    </row>
    <row r="231" ht="12.0" customHeight="1">
      <c r="B231" s="22" t="s">
        <v>174</v>
      </c>
      <c r="C231" s="6"/>
    </row>
    <row r="232" ht="12.0" customHeight="1">
      <c r="B232" s="6" t="s">
        <v>179</v>
      </c>
      <c r="C232" s="6" t="s">
        <v>196</v>
      </c>
    </row>
    <row r="233" ht="12.0" customHeight="1">
      <c r="B233" t="str">
        <f t="shared" ref="B233:B252" si="14">round(1/('Exile INPUT'!J223)*1000)</f>
        <v>#REF!</v>
      </c>
      <c r="C233" s="6" t="s">
        <v>185</v>
      </c>
      <c r="D233" s="6" t="s">
        <v>446</v>
      </c>
    </row>
    <row r="234" ht="12.0" customHeight="1">
      <c r="B234" t="str">
        <f t="shared" si="14"/>
        <v>#REF!</v>
      </c>
      <c r="C234" s="6" t="s">
        <v>185</v>
      </c>
      <c r="D234" s="6" t="s">
        <v>447</v>
      </c>
    </row>
    <row r="235" ht="12.0" customHeight="1">
      <c r="B235" t="str">
        <f t="shared" si="14"/>
        <v>#REF!</v>
      </c>
      <c r="C235" s="6" t="s">
        <v>185</v>
      </c>
      <c r="D235" s="6" t="s">
        <v>448</v>
      </c>
    </row>
    <row r="236" ht="12.0" customHeight="1">
      <c r="B236" t="str">
        <f t="shared" si="14"/>
        <v>#REF!</v>
      </c>
      <c r="C236" s="6" t="s">
        <v>185</v>
      </c>
      <c r="D236" s="6" t="s">
        <v>449</v>
      </c>
    </row>
    <row r="237" ht="12.0" customHeight="1">
      <c r="B237" t="str">
        <f t="shared" si="14"/>
        <v>#REF!</v>
      </c>
      <c r="C237" s="6" t="s">
        <v>185</v>
      </c>
      <c r="D237" s="6" t="s">
        <v>450</v>
      </c>
    </row>
    <row r="238" ht="12.0" customHeight="1">
      <c r="B238" t="str">
        <f t="shared" si="14"/>
        <v>#REF!</v>
      </c>
      <c r="C238" s="6" t="s">
        <v>185</v>
      </c>
      <c r="D238" s="6" t="s">
        <v>451</v>
      </c>
    </row>
    <row r="239" ht="12.0" customHeight="1">
      <c r="B239" t="str">
        <f t="shared" si="14"/>
        <v>#REF!</v>
      </c>
      <c r="C239" s="6" t="s">
        <v>185</v>
      </c>
      <c r="D239" s="6" t="s">
        <v>452</v>
      </c>
    </row>
    <row r="240" ht="12.0" customHeight="1">
      <c r="B240" t="str">
        <f t="shared" si="14"/>
        <v>#REF!</v>
      </c>
      <c r="C240" s="6" t="s">
        <v>185</v>
      </c>
      <c r="D240" s="6" t="s">
        <v>453</v>
      </c>
    </row>
    <row r="241" ht="12.0" customHeight="1">
      <c r="B241" t="str">
        <f t="shared" si="14"/>
        <v>#REF!</v>
      </c>
      <c r="C241" s="6" t="s">
        <v>185</v>
      </c>
      <c r="D241" s="6" t="s">
        <v>454</v>
      </c>
    </row>
    <row r="242" ht="12.0" customHeight="1">
      <c r="B242" t="str">
        <f t="shared" si="14"/>
        <v>#REF!</v>
      </c>
      <c r="C242" s="6" t="s">
        <v>185</v>
      </c>
      <c r="D242" s="6" t="s">
        <v>455</v>
      </c>
    </row>
    <row r="243" ht="12.0" customHeight="1">
      <c r="B243" t="str">
        <f t="shared" si="14"/>
        <v>#REF!</v>
      </c>
      <c r="C243" s="6" t="s">
        <v>185</v>
      </c>
      <c r="D243" s="6" t="s">
        <v>456</v>
      </c>
    </row>
    <row r="244" ht="12.0" customHeight="1">
      <c r="B244" t="str">
        <f t="shared" si="14"/>
        <v>#REF!</v>
      </c>
      <c r="C244" s="6" t="s">
        <v>185</v>
      </c>
      <c r="D244" s="6" t="s">
        <v>457</v>
      </c>
    </row>
    <row r="245" ht="12.0" customHeight="1">
      <c r="B245" t="str">
        <f t="shared" si="14"/>
        <v>#REF!</v>
      </c>
      <c r="C245" s="6" t="s">
        <v>185</v>
      </c>
      <c r="D245" s="6" t="s">
        <v>458</v>
      </c>
    </row>
    <row r="246" ht="12.0" customHeight="1">
      <c r="B246" t="str">
        <f t="shared" si="14"/>
        <v>#REF!</v>
      </c>
      <c r="C246" s="6" t="s">
        <v>185</v>
      </c>
      <c r="D246" s="6" t="s">
        <v>459</v>
      </c>
    </row>
    <row r="247" ht="12.0" customHeight="1">
      <c r="B247" t="str">
        <f t="shared" si="14"/>
        <v>#REF!</v>
      </c>
      <c r="C247" s="6" t="s">
        <v>185</v>
      </c>
      <c r="D247" s="6" t="s">
        <v>460</v>
      </c>
    </row>
    <row r="248" ht="12.0" customHeight="1">
      <c r="B248" t="str">
        <f t="shared" si="14"/>
        <v>#REF!</v>
      </c>
      <c r="C248" s="6" t="s">
        <v>185</v>
      </c>
      <c r="D248" s="6" t="s">
        <v>461</v>
      </c>
    </row>
    <row r="249" ht="12.0" customHeight="1">
      <c r="B249" t="str">
        <f t="shared" si="14"/>
        <v>#REF!</v>
      </c>
      <c r="C249" s="6" t="s">
        <v>185</v>
      </c>
      <c r="D249" s="6" t="s">
        <v>462</v>
      </c>
    </row>
    <row r="250" ht="12.0" customHeight="1">
      <c r="B250" t="str">
        <f t="shared" si="14"/>
        <v>#REF!</v>
      </c>
      <c r="C250" s="6" t="s">
        <v>185</v>
      </c>
      <c r="D250" s="6" t="s">
        <v>463</v>
      </c>
    </row>
    <row r="251" ht="12.0" customHeight="1">
      <c r="B251" t="str">
        <f t="shared" si="14"/>
        <v>#REF!</v>
      </c>
      <c r="C251" s="6" t="s">
        <v>185</v>
      </c>
      <c r="D251" s="6" t="s">
        <v>464</v>
      </c>
    </row>
    <row r="252" ht="12.0" customHeight="1">
      <c r="B252" t="str">
        <f t="shared" si="14"/>
        <v>#REF!</v>
      </c>
      <c r="C252" s="6" t="s">
        <v>185</v>
      </c>
      <c r="D252" s="6" t="s">
        <v>465</v>
      </c>
    </row>
    <row r="253" ht="12.0" customHeight="1">
      <c r="C253" s="6"/>
    </row>
    <row r="254" ht="12.0" customHeight="1">
      <c r="B254" s="22" t="s">
        <v>174</v>
      </c>
      <c r="C254" s="6"/>
    </row>
    <row r="255" ht="12.0" customHeight="1">
      <c r="B255" s="22" t="s">
        <v>466</v>
      </c>
      <c r="C255" s="6"/>
    </row>
    <row r="256" ht="12.0" customHeight="1">
      <c r="B256" s="22" t="s">
        <v>174</v>
      </c>
      <c r="C256" s="6"/>
    </row>
    <row r="257" ht="12.0" customHeight="1">
      <c r="B257" s="6" t="s">
        <v>179</v>
      </c>
      <c r="C257" s="6" t="s">
        <v>197</v>
      </c>
    </row>
    <row r="258" ht="12.0" customHeight="1">
      <c r="B258" t="str">
        <f t="shared" ref="B258:B272" si="15">round(1/('Exile INPUT'!J244)*1000)</f>
        <v>#REF!</v>
      </c>
      <c r="C258" s="6" t="s">
        <v>185</v>
      </c>
      <c r="D258" s="6" t="s">
        <v>467</v>
      </c>
    </row>
    <row r="259" ht="12.0" customHeight="1">
      <c r="B259" t="str">
        <f t="shared" si="15"/>
        <v>#REF!</v>
      </c>
      <c r="C259" s="6" t="s">
        <v>185</v>
      </c>
      <c r="D259" s="6" t="s">
        <v>468</v>
      </c>
    </row>
    <row r="260" ht="12.0" customHeight="1">
      <c r="B260" t="str">
        <f t="shared" si="15"/>
        <v>#REF!</v>
      </c>
      <c r="C260" s="6" t="s">
        <v>185</v>
      </c>
      <c r="D260" s="6" t="s">
        <v>469</v>
      </c>
    </row>
    <row r="261" ht="12.0" customHeight="1">
      <c r="B261" t="str">
        <f t="shared" si="15"/>
        <v>#REF!</v>
      </c>
      <c r="C261" s="6" t="s">
        <v>185</v>
      </c>
      <c r="D261" s="6" t="s">
        <v>470</v>
      </c>
    </row>
    <row r="262" ht="12.0" customHeight="1">
      <c r="B262" t="str">
        <f t="shared" si="15"/>
        <v>#REF!</v>
      </c>
      <c r="C262" s="6" t="s">
        <v>185</v>
      </c>
      <c r="D262" s="6" t="s">
        <v>471</v>
      </c>
    </row>
    <row r="263" ht="12.0" customHeight="1">
      <c r="B263" t="str">
        <f t="shared" si="15"/>
        <v>#REF!</v>
      </c>
      <c r="C263" s="6" t="s">
        <v>185</v>
      </c>
      <c r="D263" s="6" t="s">
        <v>472</v>
      </c>
    </row>
    <row r="264" ht="12.0" customHeight="1">
      <c r="B264" t="str">
        <f t="shared" si="15"/>
        <v>#REF!</v>
      </c>
      <c r="C264" s="6" t="s">
        <v>185</v>
      </c>
      <c r="D264" s="6" t="s">
        <v>473</v>
      </c>
    </row>
    <row r="265" ht="12.0" customHeight="1">
      <c r="B265" t="str">
        <f t="shared" si="15"/>
        <v>#REF!</v>
      </c>
      <c r="C265" s="6" t="s">
        <v>185</v>
      </c>
      <c r="D265" s="6" t="s">
        <v>474</v>
      </c>
    </row>
    <row r="266" ht="12.0" customHeight="1">
      <c r="B266" t="str">
        <f t="shared" si="15"/>
        <v>#REF!</v>
      </c>
      <c r="C266" s="6" t="s">
        <v>185</v>
      </c>
      <c r="D266" s="6" t="s">
        <v>475</v>
      </c>
    </row>
    <row r="267" ht="12.0" customHeight="1">
      <c r="B267" t="str">
        <f t="shared" si="15"/>
        <v>#REF!</v>
      </c>
      <c r="C267" s="6" t="s">
        <v>185</v>
      </c>
      <c r="D267" s="6" t="s">
        <v>476</v>
      </c>
    </row>
    <row r="268" ht="12.0" customHeight="1">
      <c r="B268" t="str">
        <f t="shared" si="15"/>
        <v>#REF!</v>
      </c>
      <c r="C268" s="6" t="s">
        <v>185</v>
      </c>
      <c r="D268" s="6" t="s">
        <v>477</v>
      </c>
    </row>
    <row r="269" ht="12.0" customHeight="1">
      <c r="B269" t="str">
        <f t="shared" si="15"/>
        <v>#REF!</v>
      </c>
      <c r="C269" s="6" t="s">
        <v>185</v>
      </c>
      <c r="D269" s="6" t="s">
        <v>478</v>
      </c>
    </row>
    <row r="270" ht="12.0" customHeight="1">
      <c r="B270" t="str">
        <f t="shared" si="15"/>
        <v>#REF!</v>
      </c>
      <c r="C270" s="6" t="s">
        <v>185</v>
      </c>
      <c r="D270" s="6" t="s">
        <v>479</v>
      </c>
    </row>
    <row r="271" ht="12.0" customHeight="1">
      <c r="B271" t="str">
        <f t="shared" si="15"/>
        <v>#REF!</v>
      </c>
      <c r="C271" s="6" t="s">
        <v>185</v>
      </c>
      <c r="D271" s="6" t="s">
        <v>480</v>
      </c>
    </row>
    <row r="272" ht="12.0" customHeight="1">
      <c r="B272" t="str">
        <f t="shared" si="15"/>
        <v>#REF!</v>
      </c>
      <c r="C272" s="6" t="s">
        <v>185</v>
      </c>
      <c r="D272" s="6" t="s">
        <v>481</v>
      </c>
    </row>
    <row r="273" ht="12.0" customHeight="1">
      <c r="C273" s="6"/>
    </row>
    <row r="274" ht="12.0" customHeight="1">
      <c r="B274" s="22" t="s">
        <v>174</v>
      </c>
      <c r="C274" s="6"/>
    </row>
    <row r="275" ht="12.0" customHeight="1">
      <c r="B275" s="22" t="s">
        <v>482</v>
      </c>
      <c r="C275" s="6"/>
    </row>
    <row r="276" ht="12.0" customHeight="1">
      <c r="B276" s="22" t="s">
        <v>174</v>
      </c>
      <c r="C276" s="6"/>
    </row>
    <row r="277" ht="12.0" customHeight="1">
      <c r="B277" s="6" t="s">
        <v>179</v>
      </c>
      <c r="C277" s="6" t="s">
        <v>201</v>
      </c>
    </row>
    <row r="278" ht="12.0" customHeight="1">
      <c r="B278" t="str">
        <f t="shared" ref="B278:B289" si="16">round(1/('Exile INPUT'!J260)*1000)</f>
        <v>#REF!</v>
      </c>
      <c r="C278" s="6" t="s">
        <v>185</v>
      </c>
      <c r="D278" s="6" t="s">
        <v>483</v>
      </c>
    </row>
    <row r="279" ht="12.0" customHeight="1">
      <c r="B279" t="str">
        <f t="shared" si="16"/>
        <v>#REF!</v>
      </c>
      <c r="C279" s="6" t="s">
        <v>185</v>
      </c>
      <c r="D279" s="6" t="s">
        <v>484</v>
      </c>
    </row>
    <row r="280" ht="12.0" customHeight="1">
      <c r="B280" t="str">
        <f t="shared" si="16"/>
        <v>#REF!</v>
      </c>
      <c r="C280" s="6" t="s">
        <v>185</v>
      </c>
      <c r="D280" s="6" t="s">
        <v>485</v>
      </c>
    </row>
    <row r="281" ht="12.0" customHeight="1">
      <c r="B281" t="str">
        <f t="shared" si="16"/>
        <v>#REF!</v>
      </c>
      <c r="C281" s="6" t="s">
        <v>185</v>
      </c>
      <c r="D281" s="6" t="s">
        <v>486</v>
      </c>
    </row>
    <row r="282" ht="12.0" customHeight="1">
      <c r="B282" t="str">
        <f t="shared" si="16"/>
        <v>#REF!</v>
      </c>
      <c r="C282" s="6" t="s">
        <v>185</v>
      </c>
      <c r="D282" s="6" t="s">
        <v>487</v>
      </c>
    </row>
    <row r="283" ht="12.0" customHeight="1">
      <c r="B283" t="str">
        <f t="shared" si="16"/>
        <v>#REF!</v>
      </c>
      <c r="C283" s="6" t="s">
        <v>185</v>
      </c>
      <c r="D283" s="6" t="s">
        <v>488</v>
      </c>
    </row>
    <row r="284" ht="12.0" customHeight="1">
      <c r="B284" t="str">
        <f t="shared" si="16"/>
        <v>#REF!</v>
      </c>
      <c r="C284" s="6" t="s">
        <v>185</v>
      </c>
      <c r="D284" s="6" t="s">
        <v>489</v>
      </c>
    </row>
    <row r="285" ht="12.0" customHeight="1">
      <c r="B285" t="str">
        <f t="shared" si="16"/>
        <v>#REF!</v>
      </c>
      <c r="C285" s="6" t="s">
        <v>185</v>
      </c>
      <c r="D285" s="6" t="s">
        <v>491</v>
      </c>
    </row>
    <row r="286" ht="12.0" customHeight="1">
      <c r="B286" t="str">
        <f t="shared" si="16"/>
        <v>#REF!</v>
      </c>
      <c r="C286" s="6" t="s">
        <v>185</v>
      </c>
      <c r="D286" s="6" t="s">
        <v>492</v>
      </c>
    </row>
    <row r="287" ht="12.0" customHeight="1">
      <c r="B287" t="str">
        <f t="shared" si="16"/>
        <v>#REF!</v>
      </c>
      <c r="C287" s="6" t="s">
        <v>185</v>
      </c>
      <c r="D287" s="6" t="s">
        <v>493</v>
      </c>
    </row>
    <row r="288" ht="12.0" customHeight="1">
      <c r="B288" t="str">
        <f t="shared" si="16"/>
        <v>#REF!</v>
      </c>
      <c r="C288" s="6" t="s">
        <v>185</v>
      </c>
      <c r="D288" s="6" t="s">
        <v>494</v>
      </c>
    </row>
    <row r="289" ht="12.0" customHeight="1">
      <c r="B289" t="str">
        <f t="shared" si="16"/>
        <v>#REF!</v>
      </c>
      <c r="C289" s="6" t="s">
        <v>185</v>
      </c>
      <c r="D289" s="6" t="s">
        <v>495</v>
      </c>
    </row>
    <row r="290" ht="12.0" customHeight="1">
      <c r="C290" s="6"/>
    </row>
    <row r="291" ht="12.0" customHeight="1">
      <c r="B291" s="22" t="s">
        <v>174</v>
      </c>
      <c r="C291" s="6"/>
    </row>
    <row r="292" ht="12.0" customHeight="1">
      <c r="B292" s="22" t="s">
        <v>496</v>
      </c>
      <c r="C292" s="6"/>
    </row>
    <row r="293" ht="12.0" customHeight="1">
      <c r="B293" s="22" t="s">
        <v>174</v>
      </c>
      <c r="C293" s="6"/>
    </row>
    <row r="294" ht="12.0" customHeight="1">
      <c r="B294" s="6" t="s">
        <v>179</v>
      </c>
      <c r="C294" s="6" t="s">
        <v>203</v>
      </c>
    </row>
    <row r="295" ht="12.0" customHeight="1">
      <c r="B295" t="str">
        <f t="shared" ref="B295:B297" si="17">round(1/('Exile INPUT'!J273)*1000)</f>
        <v>#REF!</v>
      </c>
      <c r="C295" s="6" t="s">
        <v>185</v>
      </c>
      <c r="D295" s="6" t="s">
        <v>497</v>
      </c>
    </row>
    <row r="296" ht="12.0" customHeight="1">
      <c r="B296" t="str">
        <f t="shared" si="17"/>
        <v>#REF!</v>
      </c>
      <c r="C296" s="6" t="s">
        <v>185</v>
      </c>
      <c r="D296" s="6" t="s">
        <v>498</v>
      </c>
    </row>
    <row r="297" ht="12.0" customHeight="1">
      <c r="B297" t="str">
        <f t="shared" si="17"/>
        <v>#REF!</v>
      </c>
      <c r="C297" s="6" t="s">
        <v>185</v>
      </c>
      <c r="D297" s="6" t="s">
        <v>499</v>
      </c>
    </row>
    <row r="298" ht="12.0" customHeight="1">
      <c r="C298" s="6"/>
    </row>
    <row r="299" ht="12.0" customHeight="1">
      <c r="B299" s="22" t="s">
        <v>174</v>
      </c>
      <c r="C299" s="6"/>
    </row>
    <row r="300" ht="12.0" customHeight="1">
      <c r="B300" s="22" t="s">
        <v>500</v>
      </c>
      <c r="C300" s="6"/>
    </row>
    <row r="301" ht="12.0" customHeight="1">
      <c r="B301" s="22" t="s">
        <v>174</v>
      </c>
      <c r="C301" s="6"/>
    </row>
    <row r="302" ht="12.0" customHeight="1">
      <c r="B302" s="6" t="s">
        <v>179</v>
      </c>
      <c r="C302" s="6" t="s">
        <v>204</v>
      </c>
    </row>
    <row r="303" ht="12.0" customHeight="1">
      <c r="B303" t="str">
        <f t="shared" ref="B303:B307" si="18">round(1/('Exile INPUT'!J278)*1000)</f>
        <v>#REF!</v>
      </c>
      <c r="C303" s="6" t="s">
        <v>185</v>
      </c>
      <c r="D303" s="6" t="s">
        <v>501</v>
      </c>
    </row>
    <row r="304" ht="12.0" customHeight="1">
      <c r="B304" t="str">
        <f t="shared" si="18"/>
        <v>#REF!</v>
      </c>
      <c r="C304" s="6" t="s">
        <v>185</v>
      </c>
      <c r="D304" s="6" t="s">
        <v>502</v>
      </c>
    </row>
    <row r="305" ht="12.0" customHeight="1">
      <c r="B305" t="str">
        <f t="shared" si="18"/>
        <v>#REF!</v>
      </c>
      <c r="C305" s="6" t="s">
        <v>185</v>
      </c>
      <c r="D305" s="6" t="s">
        <v>503</v>
      </c>
    </row>
    <row r="306" ht="12.0" customHeight="1">
      <c r="B306" t="str">
        <f t="shared" si="18"/>
        <v>#REF!</v>
      </c>
      <c r="C306" s="6" t="s">
        <v>185</v>
      </c>
      <c r="D306" s="6" t="s">
        <v>504</v>
      </c>
    </row>
    <row r="307" ht="12.0" customHeight="1">
      <c r="B307" t="str">
        <f t="shared" si="18"/>
        <v>#REF!</v>
      </c>
      <c r="C307" s="6" t="s">
        <v>185</v>
      </c>
      <c r="D307" s="6" t="s">
        <v>505</v>
      </c>
    </row>
    <row r="308" ht="12.0" customHeight="1">
      <c r="C308" s="6"/>
    </row>
    <row r="309" ht="12.0" customHeight="1">
      <c r="B309" s="22" t="s">
        <v>174</v>
      </c>
      <c r="C309" s="6"/>
    </row>
    <row r="310" ht="12.0" customHeight="1">
      <c r="B310" s="22" t="s">
        <v>506</v>
      </c>
    </row>
    <row r="311" ht="12.0" customHeight="1">
      <c r="B311" s="22" t="s">
        <v>174</v>
      </c>
    </row>
    <row r="312" ht="12.0" customHeight="1">
      <c r="B312" s="6" t="s">
        <v>179</v>
      </c>
      <c r="C312" s="6" t="s">
        <v>206</v>
      </c>
    </row>
    <row r="313" ht="12.0" customHeight="1">
      <c r="B313" t="str">
        <f t="shared" ref="B313:B318" si="19">round(1/('Exile INPUT'!J288)*10000)</f>
        <v>#REF!</v>
      </c>
      <c r="C313" s="6" t="s">
        <v>185</v>
      </c>
      <c r="D313" s="6" t="s">
        <v>507</v>
      </c>
    </row>
    <row r="314" ht="12.0" customHeight="1">
      <c r="B314" t="str">
        <f t="shared" si="19"/>
        <v>#REF!</v>
      </c>
      <c r="C314" s="6" t="s">
        <v>185</v>
      </c>
      <c r="D314" s="6" t="s">
        <v>508</v>
      </c>
    </row>
    <row r="315" ht="12.0" customHeight="1">
      <c r="B315" t="str">
        <f t="shared" si="19"/>
        <v>#REF!</v>
      </c>
      <c r="C315" s="6" t="s">
        <v>185</v>
      </c>
      <c r="D315" s="6" t="s">
        <v>509</v>
      </c>
    </row>
    <row r="316" ht="12.0" customHeight="1">
      <c r="B316" t="str">
        <f t="shared" si="19"/>
        <v>#REF!</v>
      </c>
      <c r="C316" s="6" t="s">
        <v>185</v>
      </c>
      <c r="D316" s="6" t="s">
        <v>510</v>
      </c>
    </row>
    <row r="317" ht="12.0" customHeight="1">
      <c r="B317" t="str">
        <f t="shared" si="19"/>
        <v>#REF!</v>
      </c>
      <c r="C317" s="6" t="s">
        <v>185</v>
      </c>
      <c r="D317" s="6" t="s">
        <v>511</v>
      </c>
    </row>
    <row r="318" ht="12.0" customHeight="1">
      <c r="B318" t="str">
        <f t="shared" si="19"/>
        <v>#REF!</v>
      </c>
      <c r="C318" s="6" t="s">
        <v>185</v>
      </c>
      <c r="D318" s="6" t="s">
        <v>512</v>
      </c>
    </row>
    <row r="319" ht="12.0" customHeight="1"/>
    <row r="320" ht="12.0" customHeight="1">
      <c r="B320" s="22" t="s">
        <v>174</v>
      </c>
    </row>
    <row r="321" ht="12.0" customHeight="1">
      <c r="B321" s="22" t="s">
        <v>513</v>
      </c>
    </row>
    <row r="322" ht="12.0" customHeight="1">
      <c r="B322" s="22" t="s">
        <v>174</v>
      </c>
    </row>
    <row r="323" ht="12.0" customHeight="1">
      <c r="B323" s="6" t="s">
        <v>179</v>
      </c>
      <c r="C323" s="6" t="s">
        <v>207</v>
      </c>
    </row>
    <row r="324" ht="12.0" customHeight="1">
      <c r="B324" t="str">
        <f t="shared" ref="B324:B326" si="20">round(1/('Exile INPUT'!J295)*10000)</f>
        <v>#REF!</v>
      </c>
      <c r="C324" s="6" t="s">
        <v>185</v>
      </c>
      <c r="D324" s="6" t="s">
        <v>514</v>
      </c>
    </row>
    <row r="325" ht="12.0" customHeight="1">
      <c r="B325" t="str">
        <f t="shared" si="20"/>
        <v>#REF!</v>
      </c>
      <c r="C325" s="6" t="s">
        <v>185</v>
      </c>
      <c r="D325" s="6" t="s">
        <v>515</v>
      </c>
    </row>
    <row r="326" ht="12.0" customHeight="1">
      <c r="B326" t="str">
        <f t="shared" si="20"/>
        <v>#REF!</v>
      </c>
      <c r="C326" s="6" t="s">
        <v>185</v>
      </c>
      <c r="D326" s="6" t="s">
        <v>516</v>
      </c>
    </row>
    <row r="327" ht="12.0" customHeight="1"/>
    <row r="328" ht="12.0" customHeight="1">
      <c r="B328" s="22" t="s">
        <v>174</v>
      </c>
    </row>
    <row r="329" ht="12.0" customHeight="1">
      <c r="B329" s="22" t="s">
        <v>517</v>
      </c>
    </row>
    <row r="330" ht="12.0" customHeight="1">
      <c r="B330" s="22" t="s">
        <v>174</v>
      </c>
    </row>
    <row r="331" ht="12.0" customHeight="1">
      <c r="B331" s="6" t="s">
        <v>179</v>
      </c>
      <c r="C331" s="6" t="s">
        <v>208</v>
      </c>
      <c r="I331" s="6"/>
    </row>
    <row r="332" ht="12.0" customHeight="1">
      <c r="B332" t="str">
        <f t="shared" ref="B332:B333" si="21">round((1/('Exile INPUT'!J299)*100000)/2)</f>
        <v>#REF!</v>
      </c>
      <c r="C332" s="6" t="s">
        <v>185</v>
      </c>
      <c r="D332" s="6" t="s">
        <v>518</v>
      </c>
      <c r="I332" s="6"/>
    </row>
    <row r="333" ht="12.0" customHeight="1">
      <c r="B333" t="str">
        <f t="shared" si="21"/>
        <v>#REF!</v>
      </c>
      <c r="C333" s="6" t="s">
        <v>185</v>
      </c>
      <c r="D333" s="6" t="s">
        <v>519</v>
      </c>
      <c r="I333" s="6"/>
    </row>
    <row r="334" ht="12.0" customHeight="1">
      <c r="B334" t="str">
        <f>round(1/('Exile INPUT'!J301)*100000)</f>
        <v>#REF!</v>
      </c>
      <c r="C334" s="6" t="s">
        <v>185</v>
      </c>
      <c r="D334" s="6" t="s">
        <v>520</v>
      </c>
      <c r="I334" s="6"/>
    </row>
    <row r="335" ht="12.0" customHeight="1">
      <c r="B335" t="str">
        <f t="shared" ref="B335:B336" si="22">round((1/('Exile INPUT'!J302)*100000)/2)</f>
        <v>#REF!</v>
      </c>
      <c r="C335" s="6" t="s">
        <v>185</v>
      </c>
      <c r="D335" s="6" t="s">
        <v>521</v>
      </c>
    </row>
    <row r="336" ht="12.0" customHeight="1">
      <c r="B336" t="str">
        <f t="shared" si="22"/>
        <v>#REF!</v>
      </c>
      <c r="C336" s="6" t="s">
        <v>185</v>
      </c>
      <c r="D336" s="6" t="s">
        <v>522</v>
      </c>
    </row>
    <row r="337" ht="12.0" customHeight="1">
      <c r="B337" t="str">
        <f t="shared" ref="B337:B339" si="23">round((1/('Exile INPUT'!J304)*100000)/3)</f>
        <v>#REF!</v>
      </c>
      <c r="C337" s="6" t="s">
        <v>185</v>
      </c>
      <c r="D337" s="6" t="s">
        <v>523</v>
      </c>
    </row>
    <row r="338" ht="12.0" customHeight="1">
      <c r="B338" t="str">
        <f t="shared" si="23"/>
        <v>#REF!</v>
      </c>
      <c r="C338" s="6" t="s">
        <v>185</v>
      </c>
      <c r="D338" s="6" t="s">
        <v>524</v>
      </c>
    </row>
    <row r="339" ht="12.0" customHeight="1">
      <c r="B339" t="str">
        <f t="shared" si="23"/>
        <v>#REF!</v>
      </c>
      <c r="C339" s="6" t="s">
        <v>185</v>
      </c>
      <c r="D339" s="6" t="s">
        <v>525</v>
      </c>
    </row>
    <row r="340" ht="12.0" customHeight="1">
      <c r="B340" t="str">
        <f>round(1/('Exile INPUT'!J307)*100000)</f>
        <v>#REF!</v>
      </c>
      <c r="C340" s="6" t="s">
        <v>185</v>
      </c>
      <c r="D340" s="6" t="s">
        <v>526</v>
      </c>
    </row>
    <row r="341" ht="12.0" customHeight="1">
      <c r="C341" s="6"/>
    </row>
    <row r="342" ht="12.0" customHeight="1">
      <c r="B342" s="22" t="s">
        <v>174</v>
      </c>
      <c r="C342" s="6"/>
    </row>
    <row r="343" ht="12.0" customHeight="1">
      <c r="B343" s="22" t="s">
        <v>527</v>
      </c>
      <c r="C343" s="6"/>
    </row>
    <row r="344" ht="12.0" customHeight="1">
      <c r="B344" s="22" t="s">
        <v>174</v>
      </c>
    </row>
    <row r="345" ht="12.0" customHeight="1">
      <c r="B345" s="6" t="s">
        <v>179</v>
      </c>
      <c r="C345" s="6" t="s">
        <v>209</v>
      </c>
    </row>
    <row r="346" ht="12.0" customHeight="1">
      <c r="B346" t="str">
        <f t="shared" ref="B346:B347" si="24">round((1/('Exile INPUT'!J309)*10000)/2)</f>
        <v>#REF!</v>
      </c>
      <c r="C346" s="6" t="s">
        <v>185</v>
      </c>
      <c r="D346" s="6" t="s">
        <v>528</v>
      </c>
    </row>
    <row r="347" ht="12.0" customHeight="1">
      <c r="B347" t="str">
        <f t="shared" si="24"/>
        <v>#REF!</v>
      </c>
      <c r="C347" s="6" t="s">
        <v>185</v>
      </c>
      <c r="D347" s="6" t="s">
        <v>529</v>
      </c>
    </row>
    <row r="348" ht="12.0" customHeight="1">
      <c r="B348" t="str">
        <f>round(1/('Exile INPUT'!J311)*10000)</f>
        <v>#REF!</v>
      </c>
      <c r="C348" s="6" t="s">
        <v>185</v>
      </c>
      <c r="D348" s="6" t="s">
        <v>530</v>
      </c>
    </row>
    <row r="349" ht="12.0" customHeight="1">
      <c r="B349" t="str">
        <f>round((1/('Exile INPUT'!J312)*10000)/4)</f>
        <v>#REF!</v>
      </c>
      <c r="C349" s="6" t="s">
        <v>185</v>
      </c>
      <c r="D349" s="6" t="s">
        <v>531</v>
      </c>
    </row>
    <row r="350" ht="12.0" customHeight="1">
      <c r="B350" t="str">
        <f t="shared" ref="B350:B351" si="25">round((1/('Exile INPUT'!J313)*10000)/2)</f>
        <v>#REF!</v>
      </c>
      <c r="C350" s="6" t="s">
        <v>185</v>
      </c>
      <c r="D350" s="6" t="s">
        <v>532</v>
      </c>
    </row>
    <row r="351" ht="12.0" customHeight="1">
      <c r="B351" t="str">
        <f t="shared" si="25"/>
        <v>#REF!</v>
      </c>
      <c r="C351" s="6" t="s">
        <v>185</v>
      </c>
      <c r="D351" s="6" t="s">
        <v>533</v>
      </c>
    </row>
    <row r="352" ht="12.0" customHeight="1">
      <c r="B352" t="str">
        <f t="shared" ref="B352:B356" si="26">round((1/('Exile INPUT'!J315)*10000)/4)</f>
        <v>#REF!</v>
      </c>
      <c r="C352" s="6" t="s">
        <v>185</v>
      </c>
      <c r="D352" s="6" t="s">
        <v>534</v>
      </c>
    </row>
    <row r="353" ht="12.0" customHeight="1">
      <c r="B353" t="str">
        <f t="shared" si="26"/>
        <v>#REF!</v>
      </c>
      <c r="C353" s="6" t="s">
        <v>185</v>
      </c>
      <c r="D353" s="6" t="s">
        <v>536</v>
      </c>
    </row>
    <row r="354" ht="12.0" customHeight="1">
      <c r="B354" t="str">
        <f t="shared" si="26"/>
        <v>#REF!</v>
      </c>
      <c r="C354" s="6" t="s">
        <v>185</v>
      </c>
      <c r="D354" s="6" t="s">
        <v>537</v>
      </c>
    </row>
    <row r="355" ht="12.0" customHeight="1">
      <c r="B355" t="str">
        <f t="shared" si="26"/>
        <v>#REF!</v>
      </c>
      <c r="C355" s="6" t="s">
        <v>185</v>
      </c>
      <c r="D355" s="6" t="s">
        <v>538</v>
      </c>
    </row>
    <row r="356" ht="12.0" customHeight="1">
      <c r="B356" t="str">
        <f t="shared" si="26"/>
        <v>#REF!</v>
      </c>
      <c r="C356" s="6" t="s">
        <v>185</v>
      </c>
      <c r="D356" s="6" t="s">
        <v>539</v>
      </c>
    </row>
    <row r="357" ht="12.0" customHeight="1">
      <c r="B357" t="str">
        <f t="shared" ref="B357:B358" si="27">round((1/('Exile INPUT'!J320)*10000)/2)</f>
        <v>#REF!</v>
      </c>
      <c r="C357" s="6" t="s">
        <v>185</v>
      </c>
      <c r="D357" s="6" t="s">
        <v>542</v>
      </c>
    </row>
    <row r="358" ht="12.0" customHeight="1">
      <c r="B358" t="str">
        <f t="shared" si="27"/>
        <v>#REF!</v>
      </c>
      <c r="C358" s="6" t="s">
        <v>185</v>
      </c>
      <c r="D358" s="6" t="s">
        <v>543</v>
      </c>
    </row>
    <row r="359" ht="12.0" customHeight="1">
      <c r="B359" t="str">
        <f t="shared" ref="B359:B360" si="28">round((1/('Exile INPUT'!J322)*10000)/4)</f>
        <v>#REF!</v>
      </c>
      <c r="C359" s="6" t="s">
        <v>185</v>
      </c>
      <c r="D359" s="6" t="s">
        <v>546</v>
      </c>
    </row>
    <row r="360" ht="12.0" customHeight="1">
      <c r="B360" t="str">
        <f t="shared" si="28"/>
        <v>#REF!</v>
      </c>
      <c r="C360" s="6" t="s">
        <v>185</v>
      </c>
      <c r="D360" s="6" t="s">
        <v>547</v>
      </c>
    </row>
    <row r="361" ht="12.0" customHeight="1">
      <c r="B361" t="str">
        <f t="shared" ref="B361:B364" si="29">round(1/('Exile INPUT'!J324)*10000)</f>
        <v>#REF!</v>
      </c>
      <c r="C361" s="6" t="s">
        <v>185</v>
      </c>
      <c r="D361" s="6" t="s">
        <v>550</v>
      </c>
    </row>
    <row r="362" ht="12.0" customHeight="1">
      <c r="B362" t="str">
        <f t="shared" si="29"/>
        <v>#REF!</v>
      </c>
      <c r="C362" s="6" t="s">
        <v>185</v>
      </c>
      <c r="D362" s="6" t="s">
        <v>551</v>
      </c>
    </row>
    <row r="363" ht="12.0" customHeight="1">
      <c r="B363" t="str">
        <f t="shared" si="29"/>
        <v>#REF!</v>
      </c>
      <c r="C363" s="6" t="s">
        <v>185</v>
      </c>
      <c r="D363" s="6" t="s">
        <v>553</v>
      </c>
    </row>
    <row r="364" ht="12.0" customHeight="1">
      <c r="B364" t="str">
        <f t="shared" si="29"/>
        <v>#REF!</v>
      </c>
      <c r="C364" s="6" t="s">
        <v>185</v>
      </c>
      <c r="D364" s="6" t="s">
        <v>554</v>
      </c>
    </row>
    <row r="365" ht="12.0" customHeight="1"/>
    <row r="366" ht="12.0" customHeight="1">
      <c r="B366" s="22" t="s">
        <v>174</v>
      </c>
    </row>
    <row r="367" ht="12.0" customHeight="1">
      <c r="B367" s="22" t="s">
        <v>555</v>
      </c>
    </row>
    <row r="368" ht="12.0" customHeight="1">
      <c r="B368" s="22" t="s">
        <v>174</v>
      </c>
    </row>
    <row r="369" ht="12.0" customHeight="1">
      <c r="B369" s="6" t="s">
        <v>179</v>
      </c>
      <c r="C369" s="6" t="s">
        <v>210</v>
      </c>
    </row>
    <row r="370" ht="12.0" customHeight="1">
      <c r="B370" t="str">
        <f t="shared" ref="B370:B371" si="30">round((1/('Exile INPUT'!J329)*100000)/2)</f>
        <v>#REF!</v>
      </c>
      <c r="C370" s="6" t="s">
        <v>185</v>
      </c>
      <c r="D370" s="6" t="s">
        <v>558</v>
      </c>
    </row>
    <row r="371" ht="12.0" customHeight="1">
      <c r="B371" t="str">
        <f t="shared" si="30"/>
        <v>#REF!</v>
      </c>
      <c r="C371" s="6" t="s">
        <v>185</v>
      </c>
      <c r="D371" s="6" t="s">
        <v>560</v>
      </c>
    </row>
    <row r="372" ht="12.0" customHeight="1">
      <c r="B372" t="str">
        <f>round(1/('Exile INPUT'!J331)*100000)</f>
        <v>#REF!</v>
      </c>
      <c r="C372" s="6" t="s">
        <v>185</v>
      </c>
      <c r="D372" s="6" t="s">
        <v>563</v>
      </c>
    </row>
    <row r="373" ht="12.0" customHeight="1">
      <c r="B373" t="str">
        <f t="shared" ref="B373:B375" si="31">round((1/('Exile INPUT'!J332)*100000)/3)</f>
        <v>#REF!</v>
      </c>
      <c r="C373" s="6" t="s">
        <v>185</v>
      </c>
      <c r="D373" s="6" t="s">
        <v>565</v>
      </c>
    </row>
    <row r="374" ht="12.0" customHeight="1">
      <c r="B374" t="str">
        <f t="shared" si="31"/>
        <v>#REF!</v>
      </c>
      <c r="C374" s="6" t="s">
        <v>185</v>
      </c>
      <c r="D374" s="6" t="s">
        <v>566</v>
      </c>
    </row>
    <row r="375" ht="12.0" customHeight="1">
      <c r="B375" t="str">
        <f t="shared" si="31"/>
        <v>#REF!</v>
      </c>
      <c r="C375" s="6" t="s">
        <v>185</v>
      </c>
      <c r="D375" s="6" t="s">
        <v>567</v>
      </c>
    </row>
    <row r="376" ht="12.0" customHeight="1">
      <c r="B376" t="str">
        <f t="shared" ref="B376:B380" si="32">round((1/('Exile INPUT'!J335)*100000)/5)</f>
        <v>#REF!</v>
      </c>
      <c r="C376" s="6" t="s">
        <v>185</v>
      </c>
      <c r="D376" s="6" t="s">
        <v>568</v>
      </c>
    </row>
    <row r="377" ht="12.0" customHeight="1">
      <c r="B377" t="str">
        <f t="shared" si="32"/>
        <v>#REF!</v>
      </c>
      <c r="C377" s="6" t="s">
        <v>185</v>
      </c>
      <c r="D377" s="6" t="s">
        <v>570</v>
      </c>
    </row>
    <row r="378" ht="12.0" customHeight="1">
      <c r="B378" t="str">
        <f t="shared" si="32"/>
        <v>#REF!</v>
      </c>
      <c r="C378" s="6" t="s">
        <v>185</v>
      </c>
      <c r="D378" s="6" t="s">
        <v>571</v>
      </c>
    </row>
    <row r="379" ht="12.0" customHeight="1">
      <c r="B379" t="str">
        <f t="shared" si="32"/>
        <v>#REF!</v>
      </c>
      <c r="C379" s="6" t="s">
        <v>185</v>
      </c>
      <c r="D379" s="6" t="s">
        <v>573</v>
      </c>
    </row>
    <row r="380" ht="12.0" customHeight="1">
      <c r="B380" t="str">
        <f t="shared" si="32"/>
        <v>#REF!</v>
      </c>
      <c r="C380" s="6" t="s">
        <v>185</v>
      </c>
      <c r="D380" s="6" t="s">
        <v>575</v>
      </c>
    </row>
    <row r="381" ht="12.0" customHeight="1">
      <c r="B381" t="str">
        <f t="shared" ref="B381:B382" si="33">round((1/('Exile INPUT'!J340)*100000)/2)</f>
        <v>#REF!</v>
      </c>
      <c r="C381" s="6" t="s">
        <v>185</v>
      </c>
      <c r="D381" s="6" t="s">
        <v>577</v>
      </c>
    </row>
    <row r="382" ht="12.0" customHeight="1">
      <c r="B382" t="str">
        <f t="shared" si="33"/>
        <v>#REF!</v>
      </c>
      <c r="C382" s="6" t="s">
        <v>185</v>
      </c>
      <c r="D382" s="6" t="s">
        <v>578</v>
      </c>
    </row>
    <row r="383" ht="12.0" customHeight="1">
      <c r="B383" t="str">
        <f t="shared" ref="B383:B385" si="34">round((1/('Exile INPUT'!J342)*100000)/3)</f>
        <v>#REF!</v>
      </c>
      <c r="C383" s="6" t="s">
        <v>185</v>
      </c>
      <c r="D383" s="6" t="s">
        <v>580</v>
      </c>
    </row>
    <row r="384" ht="12.0" customHeight="1">
      <c r="B384" t="str">
        <f t="shared" si="34"/>
        <v>#REF!</v>
      </c>
      <c r="C384" s="6" t="s">
        <v>185</v>
      </c>
      <c r="D384" s="6" t="s">
        <v>582</v>
      </c>
    </row>
    <row r="385" ht="12.0" customHeight="1">
      <c r="B385" t="str">
        <f t="shared" si="34"/>
        <v>#REF!</v>
      </c>
      <c r="C385" s="6" t="s">
        <v>185</v>
      </c>
      <c r="D385" s="6" t="s">
        <v>583</v>
      </c>
    </row>
    <row r="386" ht="12.0" customHeight="1">
      <c r="B386" t="str">
        <f t="shared" ref="B386:B387" si="35">round((1/('Exile INPUT'!J345)*100000)/2)</f>
        <v>#REF!</v>
      </c>
      <c r="C386" s="6" t="s">
        <v>185</v>
      </c>
      <c r="D386" s="6" t="s">
        <v>585</v>
      </c>
    </row>
    <row r="387" ht="12.0" customHeight="1">
      <c r="B387" t="str">
        <f t="shared" si="35"/>
        <v>#REF!</v>
      </c>
      <c r="C387" s="6" t="s">
        <v>185</v>
      </c>
      <c r="D387" s="6" t="s">
        <v>587</v>
      </c>
    </row>
    <row r="388" ht="12.0" customHeight="1">
      <c r="B388" t="str">
        <f>round(1/('Exile INPUT'!J347)*100000)</f>
        <v>#REF!</v>
      </c>
      <c r="C388" s="6" t="s">
        <v>185</v>
      </c>
      <c r="D388" s="6" t="s">
        <v>589</v>
      </c>
    </row>
    <row r="389" ht="12.0" customHeight="1">
      <c r="B389" t="str">
        <f t="shared" ref="B389:B392" si="36">round((1/('Exile INPUT'!J348)*100000)/2)</f>
        <v>#REF!</v>
      </c>
      <c r="C389" s="6" t="s">
        <v>185</v>
      </c>
      <c r="D389" s="6" t="s">
        <v>590</v>
      </c>
    </row>
    <row r="390" ht="12.0" customHeight="1">
      <c r="B390" t="str">
        <f t="shared" si="36"/>
        <v>#REF!</v>
      </c>
      <c r="C390" s="6" t="s">
        <v>185</v>
      </c>
      <c r="D390" s="6" t="s">
        <v>591</v>
      </c>
    </row>
    <row r="391" ht="12.0" customHeight="1">
      <c r="B391" t="str">
        <f t="shared" si="36"/>
        <v>#REF!</v>
      </c>
      <c r="C391" s="6" t="s">
        <v>185</v>
      </c>
      <c r="D391" s="6" t="s">
        <v>592</v>
      </c>
    </row>
    <row r="392" ht="12.0" customHeight="1">
      <c r="B392" t="str">
        <f t="shared" si="36"/>
        <v>#REF!</v>
      </c>
      <c r="C392" s="6" t="s">
        <v>185</v>
      </c>
      <c r="D392" s="6" t="s">
        <v>593</v>
      </c>
    </row>
    <row r="393" ht="12.0" customHeight="1"/>
    <row r="394" ht="12.0" customHeight="1">
      <c r="B394" s="22" t="s">
        <v>174</v>
      </c>
    </row>
    <row r="395" ht="12.0" customHeight="1">
      <c r="B395" s="22" t="s">
        <v>595</v>
      </c>
    </row>
    <row r="396" ht="12.0" customHeight="1">
      <c r="B396" s="22" t="s">
        <v>174</v>
      </c>
    </row>
    <row r="397" ht="12.0" customHeight="1">
      <c r="B397" s="6" t="s">
        <v>179</v>
      </c>
      <c r="C397" s="6" t="s">
        <v>211</v>
      </c>
    </row>
    <row r="398" ht="12.0" customHeight="1">
      <c r="B398" t="str">
        <f t="shared" ref="B398:B399" si="37">round((1/('Exile INPUT'!J356)*1000)/2)</f>
        <v>#REF!</v>
      </c>
      <c r="C398" s="6" t="s">
        <v>185</v>
      </c>
      <c r="D398" s="6" t="s">
        <v>599</v>
      </c>
    </row>
    <row r="399" ht="12.0" customHeight="1">
      <c r="B399" t="str">
        <f t="shared" si="37"/>
        <v>#REF!</v>
      </c>
      <c r="C399" s="6" t="s">
        <v>185</v>
      </c>
      <c r="D399" s="6" t="s">
        <v>600</v>
      </c>
    </row>
    <row r="400" ht="12.0" customHeight="1">
      <c r="B400" t="str">
        <f t="shared" ref="B400:B403" si="38">round(1/('Exile INPUT'!J358)*1000)</f>
        <v>#REF!</v>
      </c>
      <c r="C400" s="6" t="s">
        <v>185</v>
      </c>
      <c r="D400" s="6" t="s">
        <v>602</v>
      </c>
    </row>
    <row r="401" ht="12.0" customHeight="1">
      <c r="B401" t="str">
        <f t="shared" si="38"/>
        <v>#REF!</v>
      </c>
      <c r="C401" s="6" t="s">
        <v>185</v>
      </c>
      <c r="D401" s="6" t="s">
        <v>604</v>
      </c>
    </row>
    <row r="402" ht="12.0" customHeight="1">
      <c r="B402" t="str">
        <f t="shared" si="38"/>
        <v>#REF!</v>
      </c>
      <c r="C402" s="6" t="s">
        <v>185</v>
      </c>
      <c r="D402" s="6" t="s">
        <v>605</v>
      </c>
    </row>
    <row r="403" ht="12.0" customHeight="1">
      <c r="B403" t="str">
        <f t="shared" si="38"/>
        <v>#REF!</v>
      </c>
      <c r="C403" s="6" t="s">
        <v>185</v>
      </c>
      <c r="D403" s="6" t="s">
        <v>607</v>
      </c>
    </row>
    <row r="404" ht="12.0" customHeight="1">
      <c r="C404" s="6"/>
    </row>
    <row r="405" ht="12.0" customHeight="1">
      <c r="B405" s="6" t="s">
        <v>179</v>
      </c>
      <c r="C405" s="6" t="s">
        <v>212</v>
      </c>
    </row>
    <row r="406" ht="12.0" customHeight="1">
      <c r="B406" t="str">
        <f>round(1/('Exile INPUT'!J364)*1000)</f>
        <v>#REF!</v>
      </c>
      <c r="C406" s="6" t="s">
        <v>185</v>
      </c>
      <c r="D406" s="6" t="s">
        <v>608</v>
      </c>
    </row>
    <row r="407" ht="12.0" customHeight="1">
      <c r="B407" t="str">
        <f t="shared" ref="B407:B409" si="39">round((1/('Exile INPUT'!J370)*1000)/3)</f>
        <v>#REF!</v>
      </c>
      <c r="C407" s="6" t="s">
        <v>185</v>
      </c>
      <c r="D407" s="6" t="s">
        <v>610</v>
      </c>
    </row>
    <row r="408" ht="12.0" customHeight="1">
      <c r="B408" t="str">
        <f t="shared" si="39"/>
        <v>#REF!</v>
      </c>
      <c r="C408" s="6" t="s">
        <v>185</v>
      </c>
      <c r="D408" s="6" t="s">
        <v>612</v>
      </c>
    </row>
    <row r="409" ht="12.0" customHeight="1">
      <c r="B409" t="str">
        <f t="shared" si="39"/>
        <v>#REF!</v>
      </c>
      <c r="C409" s="6" t="s">
        <v>185</v>
      </c>
      <c r="D409" s="6" t="s">
        <v>613</v>
      </c>
    </row>
    <row r="410" ht="12.0" customHeight="1">
      <c r="B410" t="str">
        <f>round(1/('Exile INPUT'!J363)*1000)</f>
        <v>#REF!</v>
      </c>
      <c r="C410" s="6" t="s">
        <v>185</v>
      </c>
      <c r="D410" s="6" t="s">
        <v>614</v>
      </c>
    </row>
    <row r="411" ht="12.0" customHeight="1">
      <c r="C411" s="6"/>
    </row>
    <row r="412" ht="12.0" customHeight="1">
      <c r="B412" s="6" t="s">
        <v>179</v>
      </c>
      <c r="C412" s="6" t="s">
        <v>213</v>
      </c>
    </row>
    <row r="413" ht="12.0" customHeight="1">
      <c r="B413" t="str">
        <f t="shared" ref="B413:B414" si="40">round(1/('Exile INPUT'!J378)*1000)</f>
        <v>#REF!</v>
      </c>
      <c r="C413" s="6" t="s">
        <v>185</v>
      </c>
      <c r="D413" s="6" t="s">
        <v>615</v>
      </c>
    </row>
    <row r="414" ht="12.0" customHeight="1">
      <c r="B414" t="str">
        <f t="shared" si="40"/>
        <v>#REF!</v>
      </c>
      <c r="C414" s="6" t="s">
        <v>185</v>
      </c>
      <c r="D414" s="6" t="s">
        <v>616</v>
      </c>
    </row>
    <row r="415" ht="12.0" customHeight="1">
      <c r="B415" t="str">
        <f t="shared" ref="B415:B420" si="41">round(1/('Exile INPUT'!J389)*1000)</f>
        <v>#REF!</v>
      </c>
      <c r="C415" s="6" t="s">
        <v>185</v>
      </c>
      <c r="D415" s="6" t="s">
        <v>617</v>
      </c>
    </row>
    <row r="416" ht="12.0" customHeight="1">
      <c r="B416" t="str">
        <f t="shared" si="41"/>
        <v>#REF!</v>
      </c>
      <c r="C416" s="6" t="s">
        <v>185</v>
      </c>
      <c r="D416" s="6" t="s">
        <v>618</v>
      </c>
    </row>
    <row r="417" ht="12.0" customHeight="1">
      <c r="B417" t="str">
        <f t="shared" si="41"/>
        <v>#REF!</v>
      </c>
      <c r="C417" s="6" t="s">
        <v>185</v>
      </c>
      <c r="D417" s="6" t="s">
        <v>619</v>
      </c>
    </row>
    <row r="418" ht="12.0" customHeight="1">
      <c r="B418" t="str">
        <f t="shared" si="41"/>
        <v>#REF!</v>
      </c>
      <c r="C418" s="6" t="s">
        <v>185</v>
      </c>
      <c r="D418" s="6" t="s">
        <v>620</v>
      </c>
    </row>
    <row r="419" ht="12.0" customHeight="1">
      <c r="B419" t="str">
        <f t="shared" si="41"/>
        <v>#REF!</v>
      </c>
      <c r="C419" s="6" t="s">
        <v>185</v>
      </c>
      <c r="D419" s="6" t="s">
        <v>621</v>
      </c>
    </row>
    <row r="420" ht="12.0" customHeight="1">
      <c r="B420" t="str">
        <f t="shared" si="41"/>
        <v>#REF!</v>
      </c>
      <c r="C420" s="6" t="s">
        <v>185</v>
      </c>
      <c r="D420" s="6" t="s">
        <v>622</v>
      </c>
    </row>
    <row r="421" ht="12.0" customHeight="1">
      <c r="C421" s="6"/>
    </row>
    <row r="422" ht="12.0" customHeight="1">
      <c r="B422" s="6" t="s">
        <v>179</v>
      </c>
      <c r="C422" s="6" t="s">
        <v>214</v>
      </c>
    </row>
    <row r="423" ht="12.0" customHeight="1">
      <c r="B423" t="str">
        <f>round(1/('Exile INPUT'!J362)*1000)</f>
        <v>#REF!</v>
      </c>
      <c r="C423" s="6" t="s">
        <v>185</v>
      </c>
      <c r="D423" s="6" t="s">
        <v>623</v>
      </c>
    </row>
    <row r="424" ht="12.0" customHeight="1">
      <c r="B424" t="str">
        <f t="shared" ref="B424:B426" si="42">round((1/('Exile INPUT'!J365)*1000)/3)</f>
        <v>#REF!</v>
      </c>
      <c r="C424" s="6" t="s">
        <v>185</v>
      </c>
      <c r="D424" s="6" t="s">
        <v>625</v>
      </c>
    </row>
    <row r="425" ht="12.0" customHeight="1">
      <c r="B425" t="str">
        <f t="shared" si="42"/>
        <v>#REF!</v>
      </c>
      <c r="C425" s="6" t="s">
        <v>185</v>
      </c>
      <c r="D425" s="6" t="s">
        <v>626</v>
      </c>
    </row>
    <row r="426" ht="12.0" customHeight="1">
      <c r="B426" t="str">
        <f t="shared" si="42"/>
        <v>#REF!</v>
      </c>
      <c r="C426" s="6" t="s">
        <v>185</v>
      </c>
      <c r="D426" s="6" t="s">
        <v>627</v>
      </c>
    </row>
    <row r="427" ht="12.0" customHeight="1">
      <c r="B427" t="str">
        <f t="shared" ref="B427:B428" si="43">round(1/('Exile INPUT'!J368)*1000)</f>
        <v>#REF!</v>
      </c>
      <c r="C427" s="6" t="s">
        <v>185</v>
      </c>
      <c r="D427" s="6" t="s">
        <v>628</v>
      </c>
    </row>
    <row r="428" ht="12.0" customHeight="1">
      <c r="B428" t="str">
        <f t="shared" si="43"/>
        <v>#REF!</v>
      </c>
      <c r="C428" s="6" t="s">
        <v>185</v>
      </c>
      <c r="D428" s="6" t="s">
        <v>629</v>
      </c>
    </row>
    <row r="429" ht="12.0" customHeight="1">
      <c r="B429" t="str">
        <f t="shared" ref="B429:B431" si="44">round((1/('Exile INPUT'!J373)*1000)/3)</f>
        <v>#REF!</v>
      </c>
      <c r="C429" s="6" t="s">
        <v>185</v>
      </c>
      <c r="D429" s="6" t="s">
        <v>630</v>
      </c>
    </row>
    <row r="430" ht="12.0" customHeight="1">
      <c r="B430" t="str">
        <f t="shared" si="44"/>
        <v>#REF!</v>
      </c>
      <c r="C430" s="6" t="s">
        <v>185</v>
      </c>
      <c r="D430" s="6" t="s">
        <v>631</v>
      </c>
    </row>
    <row r="431" ht="12.0" customHeight="1">
      <c r="B431" t="str">
        <f t="shared" si="44"/>
        <v>#REF!</v>
      </c>
      <c r="C431" s="6" t="s">
        <v>185</v>
      </c>
      <c r="D431" s="6" t="s">
        <v>632</v>
      </c>
    </row>
    <row r="432" ht="12.0" customHeight="1">
      <c r="B432" t="str">
        <f>round(1/('Exile INPUT'!J376)*1000)</f>
        <v>#REF!</v>
      </c>
      <c r="C432" s="6" t="s">
        <v>185</v>
      </c>
      <c r="D432" s="6" t="s">
        <v>633</v>
      </c>
    </row>
    <row r="433" ht="12.0" customHeight="1">
      <c r="B433" t="str">
        <f>ROUND(1/('Exile INPUT'!J377)*1000)</f>
        <v>#REF!</v>
      </c>
      <c r="C433" s="6" t="s">
        <v>185</v>
      </c>
      <c r="D433" s="6" t="s">
        <v>634</v>
      </c>
    </row>
    <row r="434" ht="12.0" customHeight="1">
      <c r="C434" s="6"/>
    </row>
    <row r="435" ht="12.0" customHeight="1">
      <c r="B435" s="6" t="s">
        <v>179</v>
      </c>
      <c r="C435" s="6" t="s">
        <v>215</v>
      </c>
    </row>
    <row r="436" ht="12.0" customHeight="1">
      <c r="B436" t="str">
        <f t="shared" ref="B436:B444" si="45">round(1/('Exile INPUT'!J380)*1000)</f>
        <v>#REF!</v>
      </c>
      <c r="C436" s="6" t="s">
        <v>185</v>
      </c>
      <c r="D436" s="6" t="s">
        <v>636</v>
      </c>
    </row>
    <row r="437" ht="12.0" customHeight="1">
      <c r="B437" t="str">
        <f t="shared" si="45"/>
        <v>#REF!</v>
      </c>
      <c r="C437" s="6" t="s">
        <v>185</v>
      </c>
      <c r="D437" s="6" t="s">
        <v>637</v>
      </c>
    </row>
    <row r="438" ht="12.0" customHeight="1">
      <c r="B438" t="str">
        <f t="shared" si="45"/>
        <v>#REF!</v>
      </c>
      <c r="C438" s="6" t="s">
        <v>185</v>
      </c>
      <c r="D438" s="6" t="s">
        <v>638</v>
      </c>
    </row>
    <row r="439" ht="12.0" customHeight="1">
      <c r="B439" t="str">
        <f t="shared" si="45"/>
        <v>#REF!</v>
      </c>
      <c r="C439" s="6" t="s">
        <v>185</v>
      </c>
      <c r="D439" s="6" t="s">
        <v>639</v>
      </c>
    </row>
    <row r="440" ht="12.0" customHeight="1">
      <c r="B440" t="str">
        <f t="shared" si="45"/>
        <v>#REF!</v>
      </c>
      <c r="C440" s="6" t="s">
        <v>185</v>
      </c>
      <c r="D440" s="6" t="s">
        <v>640</v>
      </c>
    </row>
    <row r="441" ht="12.0" customHeight="1">
      <c r="B441" t="str">
        <f t="shared" si="45"/>
        <v>#REF!</v>
      </c>
      <c r="C441" s="6" t="s">
        <v>185</v>
      </c>
      <c r="D441" s="6" t="s">
        <v>641</v>
      </c>
    </row>
    <row r="442" ht="12.0" customHeight="1">
      <c r="B442" t="str">
        <f t="shared" si="45"/>
        <v>#REF!</v>
      </c>
      <c r="C442" s="6" t="s">
        <v>185</v>
      </c>
      <c r="D442" s="6" t="s">
        <v>642</v>
      </c>
    </row>
    <row r="443" ht="12.0" customHeight="1">
      <c r="B443" t="str">
        <f t="shared" si="45"/>
        <v>#REF!</v>
      </c>
      <c r="C443" s="6" t="s">
        <v>185</v>
      </c>
      <c r="D443" s="6" t="s">
        <v>643</v>
      </c>
    </row>
    <row r="444" ht="12.0" customHeight="1">
      <c r="B444" t="str">
        <f t="shared" si="45"/>
        <v>#REF!</v>
      </c>
      <c r="C444" s="6" t="s">
        <v>185</v>
      </c>
      <c r="D444" s="6" t="s">
        <v>645</v>
      </c>
    </row>
    <row r="445" ht="12.0" customHeight="1">
      <c r="C445" s="6"/>
    </row>
    <row r="446" ht="12.0" customHeight="1">
      <c r="B446" s="22" t="s">
        <v>174</v>
      </c>
      <c r="C446" s="6"/>
      <c r="I446" s="6"/>
    </row>
    <row r="447" ht="12.0" customHeight="1">
      <c r="B447" s="36" t="s">
        <v>646</v>
      </c>
      <c r="C447" s="6"/>
    </row>
    <row r="448" ht="12.0" customHeight="1">
      <c r="B448" s="22" t="s">
        <v>174</v>
      </c>
      <c r="C448" s="6"/>
    </row>
    <row r="449" ht="12.0" customHeight="1">
      <c r="B449" s="6" t="s">
        <v>179</v>
      </c>
      <c r="C449" s="6" t="s">
        <v>216</v>
      </c>
    </row>
    <row r="450" ht="12.0" customHeight="1">
      <c r="B450" t="str">
        <f>round(1/('Exile INPUT'!J417)*100)</f>
        <v>#REF!</v>
      </c>
      <c r="C450" s="6" t="s">
        <v>185</v>
      </c>
      <c r="D450" s="6" t="s">
        <v>647</v>
      </c>
    </row>
    <row r="451" ht="12.0" customHeight="1">
      <c r="B451" t="str">
        <f>round(1/('Exile INPUT'!J423)*100)</f>
        <v>#REF!</v>
      </c>
      <c r="C451" s="6" t="s">
        <v>185</v>
      </c>
      <c r="D451" s="6" t="s">
        <v>653</v>
      </c>
    </row>
    <row r="452" ht="12.0" customHeight="1">
      <c r="B452" t="str">
        <f>round(1/('Exile INPUT'!J451)*100)</f>
        <v>#REF!</v>
      </c>
      <c r="C452" s="6" t="s">
        <v>185</v>
      </c>
      <c r="D452" s="6" t="s">
        <v>658</v>
      </c>
    </row>
    <row r="453" ht="12.0" customHeight="1">
      <c r="B453" t="str">
        <f>round(1/('Exile INPUT'!J456)*100)</f>
        <v>#REF!</v>
      </c>
      <c r="C453" s="6" t="s">
        <v>185</v>
      </c>
      <c r="D453" s="6" t="s">
        <v>662</v>
      </c>
    </row>
    <row r="454" ht="12.0" customHeight="1"/>
    <row r="455" ht="12.0" customHeight="1">
      <c r="B455" s="6" t="s">
        <v>179</v>
      </c>
      <c r="C455" s="6" t="s">
        <v>217</v>
      </c>
    </row>
    <row r="456" ht="12.0" customHeight="1">
      <c r="B456" t="str">
        <f>round(1/('Exile INPUT'!J410)*1000)</f>
        <v>#REF!</v>
      </c>
      <c r="C456" s="6" t="s">
        <v>185</v>
      </c>
      <c r="D456" s="6" t="s">
        <v>666</v>
      </c>
    </row>
    <row r="457" ht="12.0" customHeight="1">
      <c r="B457" t="str">
        <f t="shared" ref="B457:B458" si="46">round(1/('Exile INPUT'!J401)*1000)</f>
        <v>#REF!</v>
      </c>
      <c r="C457" s="6" t="s">
        <v>185</v>
      </c>
      <c r="D457" s="6" t="s">
        <v>671</v>
      </c>
    </row>
    <row r="458" ht="12.0" customHeight="1">
      <c r="B458" t="str">
        <f t="shared" si="46"/>
        <v>#REF!</v>
      </c>
      <c r="C458" s="6" t="s">
        <v>185</v>
      </c>
      <c r="D458" s="6" t="s">
        <v>674</v>
      </c>
    </row>
    <row r="459" ht="12.0" customHeight="1">
      <c r="B459" t="str">
        <f>round(1/('Exile INPUT'!J400)*1000)</f>
        <v>#REF!</v>
      </c>
      <c r="C459" s="6" t="s">
        <v>185</v>
      </c>
      <c r="D459" s="6" t="s">
        <v>678</v>
      </c>
    </row>
    <row r="460" ht="12.0" customHeight="1">
      <c r="B460" t="str">
        <f>round(1/('Exile INPUT'!J399)*1000)</f>
        <v>#REF!</v>
      </c>
      <c r="C460" s="6" t="s">
        <v>185</v>
      </c>
      <c r="D460" s="6" t="s">
        <v>683</v>
      </c>
    </row>
    <row r="461" ht="12.0" customHeight="1"/>
    <row r="462" ht="12.0" customHeight="1">
      <c r="B462" s="6" t="s">
        <v>179</v>
      </c>
      <c r="C462" s="6" t="s">
        <v>219</v>
      </c>
      <c r="I462" s="6"/>
    </row>
    <row r="463" ht="12.0" customHeight="1">
      <c r="B463" s="6">
        <v>10.0</v>
      </c>
      <c r="C463" s="6" t="s">
        <v>185</v>
      </c>
      <c r="D463" s="6" t="s">
        <v>685</v>
      </c>
      <c r="I463" s="6"/>
    </row>
    <row r="464" ht="12.0" customHeight="1">
      <c r="B464" s="6">
        <v>10.0</v>
      </c>
      <c r="C464" s="6" t="s">
        <v>185</v>
      </c>
      <c r="D464" s="6" t="s">
        <v>687</v>
      </c>
    </row>
    <row r="465" ht="12.0" customHeight="1">
      <c r="B465" s="6">
        <v>10.0</v>
      </c>
      <c r="C465" s="6" t="s">
        <v>185</v>
      </c>
      <c r="D465" s="6" t="s">
        <v>688</v>
      </c>
    </row>
    <row r="466" ht="12.0" customHeight="1">
      <c r="B466" s="6">
        <v>10.0</v>
      </c>
      <c r="C466" s="6" t="s">
        <v>185</v>
      </c>
      <c r="D466" s="6" t="s">
        <v>689</v>
      </c>
    </row>
    <row r="467" ht="12.0" customHeight="1">
      <c r="B467" s="6">
        <v>10.0</v>
      </c>
      <c r="C467" s="6" t="s">
        <v>185</v>
      </c>
      <c r="D467" s="6" t="s">
        <v>690</v>
      </c>
    </row>
    <row r="468" ht="12.0" customHeight="1">
      <c r="B468" s="6">
        <v>14.0</v>
      </c>
      <c r="C468" s="6" t="s">
        <v>185</v>
      </c>
      <c r="D468" s="6" t="s">
        <v>691</v>
      </c>
    </row>
    <row r="469" ht="12.0" customHeight="1">
      <c r="B469" s="6">
        <v>10.0</v>
      </c>
      <c r="C469" s="6" t="s">
        <v>185</v>
      </c>
      <c r="D469" s="6" t="s">
        <v>692</v>
      </c>
    </row>
    <row r="470" ht="12.0" customHeight="1">
      <c r="B470" s="6">
        <v>10.0</v>
      </c>
      <c r="C470" s="6" t="s">
        <v>185</v>
      </c>
      <c r="D470" s="6" t="s">
        <v>693</v>
      </c>
    </row>
    <row r="471" ht="12.0" customHeight="1">
      <c r="B471" s="6">
        <v>5.0</v>
      </c>
      <c r="C471" s="6" t="s">
        <v>185</v>
      </c>
      <c r="D471" s="6" t="s">
        <v>694</v>
      </c>
    </row>
    <row r="472" ht="12.0" customHeight="1">
      <c r="B472" s="6">
        <v>1.0</v>
      </c>
      <c r="C472" s="6" t="s">
        <v>185</v>
      </c>
      <c r="D472" s="6" t="s">
        <v>695</v>
      </c>
    </row>
    <row r="473" ht="12.0" customHeight="1">
      <c r="C473" s="6"/>
    </row>
    <row r="474" ht="12.0" customHeight="1">
      <c r="B474" s="6" t="s">
        <v>179</v>
      </c>
      <c r="C474" s="6" t="s">
        <v>221</v>
      </c>
    </row>
    <row r="475" ht="12.0" customHeight="1">
      <c r="B475" s="6">
        <v>1.0</v>
      </c>
      <c r="C475" s="6" t="s">
        <v>185</v>
      </c>
      <c r="D475" s="6" t="s">
        <v>696</v>
      </c>
    </row>
    <row r="476" ht="12.0" customHeight="1">
      <c r="B476" s="6">
        <v>1.0</v>
      </c>
      <c r="C476" s="6" t="s">
        <v>185</v>
      </c>
      <c r="D476" s="6" t="s">
        <v>697</v>
      </c>
    </row>
    <row r="477" ht="12.0" customHeight="1">
      <c r="B477" s="6">
        <v>1.0</v>
      </c>
      <c r="C477" s="6" t="s">
        <v>185</v>
      </c>
      <c r="D477" s="6" t="s">
        <v>698</v>
      </c>
    </row>
    <row r="478" ht="12.0" customHeight="1">
      <c r="B478" s="6">
        <v>1.0</v>
      </c>
      <c r="C478" s="6" t="s">
        <v>185</v>
      </c>
      <c r="D478" s="6" t="s">
        <v>699</v>
      </c>
    </row>
    <row r="479" ht="12.0" customHeight="1">
      <c r="B479" s="6">
        <v>1.0</v>
      </c>
      <c r="C479" s="6" t="s">
        <v>185</v>
      </c>
      <c r="D479" s="6" t="s">
        <v>700</v>
      </c>
    </row>
    <row r="480" ht="12.0" customHeight="1">
      <c r="B480" s="6">
        <v>1.0</v>
      </c>
      <c r="C480" s="6" t="s">
        <v>185</v>
      </c>
      <c r="D480" s="6" t="s">
        <v>701</v>
      </c>
    </row>
    <row r="481" ht="12.0" customHeight="1">
      <c r="B481" s="6">
        <v>1.0</v>
      </c>
      <c r="C481" s="6" t="s">
        <v>185</v>
      </c>
      <c r="D481" s="6" t="s">
        <v>702</v>
      </c>
    </row>
    <row r="482" ht="12.0" customHeight="1">
      <c r="B482" s="6">
        <v>1.0</v>
      </c>
      <c r="C482" s="6" t="s">
        <v>185</v>
      </c>
      <c r="D482" s="6" t="s">
        <v>703</v>
      </c>
    </row>
    <row r="483" ht="12.0" customHeight="1">
      <c r="C483" s="6"/>
    </row>
    <row r="484" ht="12.0" customHeight="1">
      <c r="B484" s="6" t="s">
        <v>179</v>
      </c>
      <c r="C484" s="6" t="s">
        <v>222</v>
      </c>
    </row>
    <row r="485" ht="12.0" customHeight="1">
      <c r="B485" t="str">
        <f t="shared" ref="B485:B487" si="47">round(1/('Exile INPUT'!J446)*1000)</f>
        <v>#REF!</v>
      </c>
      <c r="C485" s="6" t="s">
        <v>185</v>
      </c>
      <c r="D485" s="6" t="s">
        <v>706</v>
      </c>
    </row>
    <row r="486" ht="12.0" customHeight="1">
      <c r="B486" t="str">
        <f t="shared" si="47"/>
        <v>#REF!</v>
      </c>
      <c r="C486" s="6" t="s">
        <v>185</v>
      </c>
      <c r="D486" s="6" t="s">
        <v>708</v>
      </c>
    </row>
    <row r="487" ht="12.0" customHeight="1">
      <c r="B487" t="str">
        <f t="shared" si="47"/>
        <v>#REF!</v>
      </c>
      <c r="C487" s="6" t="s">
        <v>185</v>
      </c>
      <c r="D487" s="6" t="s">
        <v>710</v>
      </c>
    </row>
    <row r="488" ht="12.0" customHeight="1">
      <c r="B488" s="6">
        <v>5.0</v>
      </c>
      <c r="C488" s="6" t="s">
        <v>185</v>
      </c>
      <c r="D488" s="6" t="s">
        <v>711</v>
      </c>
    </row>
    <row r="489" ht="12.0" customHeight="1">
      <c r="B489" s="6">
        <v>5.0</v>
      </c>
      <c r="C489" s="6" t="s">
        <v>185</v>
      </c>
      <c r="D489" s="6" t="s">
        <v>712</v>
      </c>
    </row>
    <row r="490" ht="12.0" customHeight="1">
      <c r="B490" s="6">
        <v>20.0</v>
      </c>
      <c r="C490" s="6" t="s">
        <v>185</v>
      </c>
      <c r="D490" s="6" t="s">
        <v>714</v>
      </c>
      <c r="I490" s="6"/>
    </row>
    <row r="491" ht="12.0" customHeight="1">
      <c r="B491" t="str">
        <f t="shared" ref="B491:B493" si="48">round(1/('Exile INPUT'!J403)*10000)</f>
        <v>#REF!</v>
      </c>
      <c r="C491" s="6" t="s">
        <v>185</v>
      </c>
      <c r="D491" s="6" t="s">
        <v>716</v>
      </c>
    </row>
    <row r="492" ht="12.0" customHeight="1">
      <c r="B492" t="str">
        <f t="shared" si="48"/>
        <v>#REF!</v>
      </c>
      <c r="C492" s="6" t="s">
        <v>185</v>
      </c>
      <c r="D492" s="6" t="s">
        <v>718</v>
      </c>
    </row>
    <row r="493" ht="12.0" customHeight="1">
      <c r="B493" t="str">
        <f t="shared" si="48"/>
        <v>#REF!</v>
      </c>
      <c r="C493" s="6" t="s">
        <v>185</v>
      </c>
      <c r="D493" s="6" t="s">
        <v>719</v>
      </c>
    </row>
    <row r="494" ht="12.0" customHeight="1">
      <c r="B494" t="str">
        <f t="shared" ref="B494:B497" si="49">round(1/('Exile INPUT'!J411)*10000)</f>
        <v>#REF!</v>
      </c>
      <c r="C494" s="6" t="s">
        <v>185</v>
      </c>
      <c r="D494" s="6" t="s">
        <v>721</v>
      </c>
    </row>
    <row r="495" ht="12.0" customHeight="1">
      <c r="B495" t="str">
        <f t="shared" si="49"/>
        <v>#REF!</v>
      </c>
      <c r="C495" s="6" t="s">
        <v>185</v>
      </c>
      <c r="D495" s="6" t="s">
        <v>724</v>
      </c>
    </row>
    <row r="496" ht="12.0" customHeight="1">
      <c r="B496" t="str">
        <f t="shared" si="49"/>
        <v>#REF!</v>
      </c>
      <c r="C496" s="6" t="s">
        <v>185</v>
      </c>
      <c r="D496" s="6" t="s">
        <v>727</v>
      </c>
    </row>
    <row r="497" ht="12.0" customHeight="1">
      <c r="B497" t="str">
        <f t="shared" si="49"/>
        <v>#REF!</v>
      </c>
      <c r="C497" s="6" t="s">
        <v>185</v>
      </c>
      <c r="D497" s="6" t="s">
        <v>728</v>
      </c>
    </row>
    <row r="498" ht="12.0" customHeight="1">
      <c r="B498" t="str">
        <f>round(1/('Exile INPUT'!J418)*10000)</f>
        <v>#REF!</v>
      </c>
      <c r="C498" s="6" t="s">
        <v>185</v>
      </c>
      <c r="D498" s="6" t="s">
        <v>733</v>
      </c>
    </row>
    <row r="499" ht="12.0" customHeight="1">
      <c r="B499" t="str">
        <f>round(1/('Exile INPUT'!J407)*10000)</f>
        <v>#REF!</v>
      </c>
      <c r="C499" s="6" t="s">
        <v>185</v>
      </c>
      <c r="D499" s="6" t="s">
        <v>694</v>
      </c>
    </row>
    <row r="500" ht="12.0" customHeight="1">
      <c r="B500" t="str">
        <f>round(1/('Exile INPUT'!J420)*10000)</f>
        <v>#REF!</v>
      </c>
      <c r="C500" s="6" t="s">
        <v>185</v>
      </c>
      <c r="D500" s="6" t="s">
        <v>738</v>
      </c>
    </row>
    <row r="501" ht="12.0" customHeight="1">
      <c r="B501" t="str">
        <f>round(1/('Exile INPUT'!J415)*10000)</f>
        <v>#REF!</v>
      </c>
      <c r="C501" s="6" t="s">
        <v>185</v>
      </c>
      <c r="D501" s="6" t="s">
        <v>741</v>
      </c>
    </row>
    <row r="502" ht="12.0" customHeight="1"/>
    <row r="503" ht="12.0" customHeight="1">
      <c r="B503" s="22" t="s">
        <v>174</v>
      </c>
    </row>
    <row r="504" ht="12.0" customHeight="1">
      <c r="B504" s="36" t="s">
        <v>744</v>
      </c>
    </row>
    <row r="505" ht="12.0" customHeight="1">
      <c r="B505" s="22" t="s">
        <v>174</v>
      </c>
    </row>
    <row r="506" ht="12.0" customHeight="1">
      <c r="B506" s="6" t="s">
        <v>179</v>
      </c>
      <c r="C506" s="6" t="s">
        <v>224</v>
      </c>
    </row>
    <row r="507" ht="12.0" customHeight="1">
      <c r="B507" t="str">
        <f t="shared" ref="B507:B527" si="50">round(1/('Exile INPUT'!J571)*100)</f>
        <v>#REF!</v>
      </c>
      <c r="C507" s="6" t="s">
        <v>185</v>
      </c>
      <c r="D507" s="6" t="s">
        <v>748</v>
      </c>
    </row>
    <row r="508" ht="12.0" customHeight="1">
      <c r="B508" t="str">
        <f t="shared" si="50"/>
        <v>#REF!</v>
      </c>
      <c r="C508" s="6" t="s">
        <v>185</v>
      </c>
      <c r="D508" s="6" t="s">
        <v>750</v>
      </c>
    </row>
    <row r="509" ht="12.0" customHeight="1">
      <c r="B509" t="str">
        <f t="shared" si="50"/>
        <v>#REF!</v>
      </c>
      <c r="C509" s="6" t="s">
        <v>185</v>
      </c>
      <c r="D509" s="6" t="s">
        <v>751</v>
      </c>
    </row>
    <row r="510" ht="12.0" customHeight="1">
      <c r="B510" t="str">
        <f t="shared" si="50"/>
        <v>#REF!</v>
      </c>
      <c r="C510" s="6" t="s">
        <v>185</v>
      </c>
      <c r="D510" s="6" t="s">
        <v>752</v>
      </c>
    </row>
    <row r="511" ht="12.0" customHeight="1">
      <c r="B511" t="str">
        <f t="shared" si="50"/>
        <v>#REF!</v>
      </c>
      <c r="C511" s="6" t="s">
        <v>185</v>
      </c>
      <c r="D511" s="6" t="s">
        <v>753</v>
      </c>
    </row>
    <row r="512" ht="12.0" customHeight="1">
      <c r="B512" t="str">
        <f t="shared" si="50"/>
        <v>#REF!</v>
      </c>
      <c r="C512" s="6" t="s">
        <v>185</v>
      </c>
      <c r="D512" s="6" t="s">
        <v>755</v>
      </c>
    </row>
    <row r="513" ht="12.0" customHeight="1">
      <c r="B513" t="str">
        <f t="shared" si="50"/>
        <v>#REF!</v>
      </c>
      <c r="C513" s="6" t="s">
        <v>185</v>
      </c>
      <c r="D513" s="6" t="s">
        <v>756</v>
      </c>
    </row>
    <row r="514" ht="12.0" customHeight="1">
      <c r="B514" t="str">
        <f t="shared" si="50"/>
        <v>#REF!</v>
      </c>
      <c r="C514" s="6" t="s">
        <v>185</v>
      </c>
      <c r="D514" s="6" t="s">
        <v>758</v>
      </c>
    </row>
    <row r="515" ht="12.0" customHeight="1">
      <c r="B515" t="str">
        <f t="shared" si="50"/>
        <v>#REF!</v>
      </c>
      <c r="C515" s="6" t="s">
        <v>185</v>
      </c>
      <c r="D515" s="6" t="s">
        <v>760</v>
      </c>
    </row>
    <row r="516" ht="12.0" customHeight="1">
      <c r="B516" t="str">
        <f t="shared" si="50"/>
        <v>#REF!</v>
      </c>
      <c r="C516" s="6" t="s">
        <v>185</v>
      </c>
      <c r="D516" s="6" t="s">
        <v>761</v>
      </c>
    </row>
    <row r="517" ht="12.0" customHeight="1">
      <c r="B517" t="str">
        <f t="shared" si="50"/>
        <v>#REF!</v>
      </c>
      <c r="C517" s="6" t="s">
        <v>185</v>
      </c>
      <c r="D517" s="6" t="s">
        <v>763</v>
      </c>
    </row>
    <row r="518" ht="12.0" customHeight="1">
      <c r="B518" t="str">
        <f t="shared" si="50"/>
        <v>#REF!</v>
      </c>
      <c r="C518" s="6" t="s">
        <v>185</v>
      </c>
      <c r="D518" s="6" t="s">
        <v>764</v>
      </c>
    </row>
    <row r="519" ht="12.0" customHeight="1">
      <c r="B519" t="str">
        <f t="shared" si="50"/>
        <v>#REF!</v>
      </c>
      <c r="C519" s="6" t="s">
        <v>185</v>
      </c>
      <c r="D519" s="6" t="s">
        <v>765</v>
      </c>
    </row>
    <row r="520" ht="12.0" customHeight="1">
      <c r="B520" t="str">
        <f t="shared" si="50"/>
        <v>#REF!</v>
      </c>
      <c r="C520" s="6" t="s">
        <v>185</v>
      </c>
      <c r="D520" s="6" t="s">
        <v>766</v>
      </c>
    </row>
    <row r="521" ht="12.0" customHeight="1">
      <c r="B521" t="str">
        <f t="shared" si="50"/>
        <v>#REF!</v>
      </c>
      <c r="C521" s="6" t="s">
        <v>185</v>
      </c>
      <c r="D521" s="6" t="s">
        <v>767</v>
      </c>
    </row>
    <row r="522" ht="12.0" customHeight="1">
      <c r="B522" t="str">
        <f t="shared" si="50"/>
        <v>#REF!</v>
      </c>
      <c r="C522" s="6" t="s">
        <v>185</v>
      </c>
      <c r="D522" s="6" t="s">
        <v>768</v>
      </c>
    </row>
    <row r="523" ht="12.0" customHeight="1">
      <c r="B523" t="str">
        <f t="shared" si="50"/>
        <v>#REF!</v>
      </c>
      <c r="C523" s="6" t="s">
        <v>185</v>
      </c>
      <c r="D523" s="6" t="s">
        <v>770</v>
      </c>
    </row>
    <row r="524" ht="12.0" customHeight="1">
      <c r="B524" t="str">
        <f t="shared" si="50"/>
        <v>#REF!</v>
      </c>
      <c r="C524" s="6" t="s">
        <v>185</v>
      </c>
      <c r="D524" s="6" t="s">
        <v>771</v>
      </c>
    </row>
    <row r="525" ht="12.0" customHeight="1">
      <c r="B525" t="str">
        <f t="shared" si="50"/>
        <v>#REF!</v>
      </c>
      <c r="C525" s="6" t="s">
        <v>185</v>
      </c>
      <c r="D525" s="6" t="s">
        <v>772</v>
      </c>
    </row>
    <row r="526" ht="12.0" customHeight="1">
      <c r="B526" t="str">
        <f t="shared" si="50"/>
        <v>#REF!</v>
      </c>
      <c r="C526" s="6" t="s">
        <v>185</v>
      </c>
      <c r="D526" s="6" t="s">
        <v>774</v>
      </c>
    </row>
    <row r="527" ht="12.0" customHeight="1">
      <c r="B527" t="str">
        <f t="shared" si="50"/>
        <v>#REF!</v>
      </c>
      <c r="C527" s="6" t="s">
        <v>185</v>
      </c>
      <c r="D527" s="6" t="s">
        <v>775</v>
      </c>
    </row>
    <row r="528" ht="12.0" customHeight="1">
      <c r="C528" s="6"/>
    </row>
    <row r="529" ht="12.0" customHeight="1">
      <c r="B529" s="6" t="s">
        <v>179</v>
      </c>
      <c r="C529" s="6" t="s">
        <v>225</v>
      </c>
    </row>
    <row r="530" ht="12.0" customHeight="1">
      <c r="B530" t="str">
        <f t="shared" ref="B530:B531" si="51">round(1/('Exile INPUT'!J59)*1000)</f>
        <v>#REF!</v>
      </c>
      <c r="C530" s="6" t="s">
        <v>185</v>
      </c>
      <c r="D530" s="6" t="s">
        <v>777</v>
      </c>
    </row>
    <row r="531" ht="12.0" customHeight="1">
      <c r="B531" t="str">
        <f t="shared" si="51"/>
        <v>#REF!</v>
      </c>
      <c r="C531" s="6" t="s">
        <v>185</v>
      </c>
      <c r="D531" s="6" t="s">
        <v>778</v>
      </c>
    </row>
    <row r="532" ht="12.0" customHeight="1">
      <c r="B532" s="6">
        <v>1.0</v>
      </c>
      <c r="C532" s="6" t="s">
        <v>185</v>
      </c>
      <c r="D532" s="6" t="s">
        <v>780</v>
      </c>
    </row>
    <row r="533" ht="12.0" customHeight="1">
      <c r="B533" s="6">
        <v>1.0</v>
      </c>
      <c r="C533" s="6" t="s">
        <v>185</v>
      </c>
      <c r="D533" s="6" t="s">
        <v>781</v>
      </c>
      <c r="I533" s="6"/>
    </row>
    <row r="534" ht="12.0" customHeight="1">
      <c r="B534" s="6">
        <v>1.0</v>
      </c>
      <c r="C534" s="6" t="s">
        <v>185</v>
      </c>
      <c r="D534" s="6" t="s">
        <v>782</v>
      </c>
    </row>
    <row r="535" ht="12.0" customHeight="1">
      <c r="B535" t="str">
        <f t="shared" ref="B535:B536" si="52">round(1/('Exile INPUT'!J64)*1000)</f>
        <v>#REF!</v>
      </c>
      <c r="C535" s="6" t="s">
        <v>185</v>
      </c>
      <c r="D535" s="6" t="s">
        <v>784</v>
      </c>
    </row>
    <row r="536" ht="12.0" customHeight="1">
      <c r="B536" t="str">
        <f t="shared" si="52"/>
        <v>#REF!</v>
      </c>
      <c r="C536" s="6" t="s">
        <v>185</v>
      </c>
      <c r="D536" s="6" t="s">
        <v>785</v>
      </c>
    </row>
    <row r="537" ht="12.0" customHeight="1">
      <c r="C537" s="6"/>
    </row>
    <row r="538" ht="12.0" customHeight="1">
      <c r="B538" s="6" t="s">
        <v>179</v>
      </c>
      <c r="C538" s="6" t="s">
        <v>227</v>
      </c>
    </row>
    <row r="539" ht="12.0" customHeight="1">
      <c r="B539" t="str">
        <f t="shared" ref="B539:B549" si="53">round(1/('Exile INPUT'!J602)*10000)</f>
        <v>#REF!</v>
      </c>
      <c r="C539" s="6" t="s">
        <v>185</v>
      </c>
      <c r="D539" s="6" t="s">
        <v>788</v>
      </c>
    </row>
    <row r="540" ht="12.0" customHeight="1">
      <c r="B540" t="str">
        <f t="shared" si="53"/>
        <v>#REF!</v>
      </c>
      <c r="C540" s="6" t="s">
        <v>185</v>
      </c>
      <c r="D540" s="6" t="s">
        <v>789</v>
      </c>
    </row>
    <row r="541" ht="12.0" customHeight="1">
      <c r="B541" t="str">
        <f t="shared" si="53"/>
        <v>#REF!</v>
      </c>
      <c r="C541" s="6" t="s">
        <v>185</v>
      </c>
      <c r="D541" s="6" t="s">
        <v>791</v>
      </c>
    </row>
    <row r="542" ht="12.0" customHeight="1">
      <c r="B542" t="str">
        <f t="shared" si="53"/>
        <v>#REF!</v>
      </c>
      <c r="C542" s="6" t="s">
        <v>185</v>
      </c>
      <c r="D542" s="6" t="s">
        <v>793</v>
      </c>
    </row>
    <row r="543" ht="12.0" customHeight="1">
      <c r="B543" t="str">
        <f t="shared" si="53"/>
        <v>#REF!</v>
      </c>
      <c r="C543" s="6" t="s">
        <v>185</v>
      </c>
      <c r="D543" s="6" t="s">
        <v>794</v>
      </c>
    </row>
    <row r="544" ht="12.0" customHeight="1">
      <c r="B544" t="str">
        <f t="shared" si="53"/>
        <v>#REF!</v>
      </c>
      <c r="C544" s="6" t="s">
        <v>185</v>
      </c>
      <c r="D544" s="6" t="s">
        <v>795</v>
      </c>
    </row>
    <row r="545" ht="12.0" customHeight="1">
      <c r="B545" t="str">
        <f t="shared" si="53"/>
        <v>#REF!</v>
      </c>
      <c r="C545" s="6" t="s">
        <v>185</v>
      </c>
      <c r="D545" s="6" t="s">
        <v>796</v>
      </c>
    </row>
    <row r="546" ht="12.0" customHeight="1">
      <c r="B546" t="str">
        <f t="shared" si="53"/>
        <v>#REF!</v>
      </c>
      <c r="C546" s="6" t="s">
        <v>185</v>
      </c>
      <c r="D546" s="6" t="s">
        <v>797</v>
      </c>
    </row>
    <row r="547" ht="12.0" customHeight="1">
      <c r="B547" t="str">
        <f t="shared" si="53"/>
        <v>#REF!</v>
      </c>
      <c r="C547" s="6" t="s">
        <v>185</v>
      </c>
      <c r="D547" s="6" t="s">
        <v>799</v>
      </c>
    </row>
    <row r="548" ht="12.0" customHeight="1">
      <c r="B548" t="str">
        <f t="shared" si="53"/>
        <v>#REF!</v>
      </c>
      <c r="C548" s="6" t="s">
        <v>185</v>
      </c>
      <c r="D548" s="6" t="s">
        <v>800</v>
      </c>
    </row>
    <row r="549" ht="12.0" customHeight="1">
      <c r="B549" t="str">
        <f t="shared" si="53"/>
        <v>#REF!</v>
      </c>
      <c r="C549" s="6" t="s">
        <v>185</v>
      </c>
      <c r="D549" s="6" t="s">
        <v>801</v>
      </c>
    </row>
    <row r="550" ht="12.0" customHeight="1">
      <c r="C550" s="6"/>
    </row>
    <row r="551" ht="12.0" customHeight="1">
      <c r="B551" s="6" t="s">
        <v>179</v>
      </c>
      <c r="C551" s="6" t="s">
        <v>228</v>
      </c>
    </row>
    <row r="552" ht="12.0" customHeight="1">
      <c r="B552" t="str">
        <f t="shared" ref="B552:B566" si="54">round(1/('Exile INPUT'!J553)*100)</f>
        <v>#REF!</v>
      </c>
      <c r="C552" s="6" t="s">
        <v>185</v>
      </c>
      <c r="D552" s="6" t="s">
        <v>803</v>
      </c>
    </row>
    <row r="553" ht="12.0" customHeight="1">
      <c r="B553" t="str">
        <f t="shared" si="54"/>
        <v>#REF!</v>
      </c>
      <c r="C553" s="6" t="s">
        <v>185</v>
      </c>
      <c r="D553" s="6" t="s">
        <v>805</v>
      </c>
    </row>
    <row r="554" ht="12.0" customHeight="1">
      <c r="B554" t="str">
        <f t="shared" si="54"/>
        <v>#REF!</v>
      </c>
      <c r="C554" s="6" t="s">
        <v>185</v>
      </c>
      <c r="D554" s="6" t="s">
        <v>806</v>
      </c>
    </row>
    <row r="555" ht="12.0" customHeight="1">
      <c r="B555" t="str">
        <f t="shared" si="54"/>
        <v>#REF!</v>
      </c>
      <c r="C555" s="6" t="s">
        <v>185</v>
      </c>
      <c r="D555" s="6" t="s">
        <v>807</v>
      </c>
    </row>
    <row r="556" ht="12.0" customHeight="1">
      <c r="B556" t="str">
        <f t="shared" si="54"/>
        <v>#REF!</v>
      </c>
      <c r="C556" s="6" t="s">
        <v>185</v>
      </c>
      <c r="D556" s="6" t="s">
        <v>808</v>
      </c>
    </row>
    <row r="557" ht="12.0" customHeight="1">
      <c r="B557" t="str">
        <f t="shared" si="54"/>
        <v>#REF!</v>
      </c>
      <c r="C557" s="6" t="s">
        <v>185</v>
      </c>
      <c r="D557" s="6" t="s">
        <v>810</v>
      </c>
    </row>
    <row r="558" ht="12.0" customHeight="1">
      <c r="B558" t="str">
        <f t="shared" si="54"/>
        <v>#REF!</v>
      </c>
      <c r="C558" s="6" t="s">
        <v>185</v>
      </c>
      <c r="D558" s="6" t="s">
        <v>811</v>
      </c>
    </row>
    <row r="559" ht="12.0" customHeight="1">
      <c r="B559" t="str">
        <f t="shared" si="54"/>
        <v>#REF!</v>
      </c>
      <c r="C559" s="6" t="s">
        <v>185</v>
      </c>
      <c r="D559" s="6" t="s">
        <v>812</v>
      </c>
    </row>
    <row r="560" ht="12.0" customHeight="1">
      <c r="B560" t="str">
        <f t="shared" si="54"/>
        <v>#REF!</v>
      </c>
      <c r="C560" s="6" t="s">
        <v>185</v>
      </c>
      <c r="D560" s="6" t="s">
        <v>814</v>
      </c>
    </row>
    <row r="561" ht="12.0" customHeight="1">
      <c r="B561" t="str">
        <f t="shared" si="54"/>
        <v>#REF!</v>
      </c>
      <c r="C561" s="6" t="s">
        <v>185</v>
      </c>
      <c r="D561" s="6" t="s">
        <v>816</v>
      </c>
    </row>
    <row r="562" ht="12.0" customHeight="1">
      <c r="B562" t="str">
        <f t="shared" si="54"/>
        <v>#REF!</v>
      </c>
      <c r="C562" s="6" t="s">
        <v>185</v>
      </c>
      <c r="D562" s="6" t="s">
        <v>817</v>
      </c>
    </row>
    <row r="563" ht="12.0" customHeight="1">
      <c r="B563" t="str">
        <f t="shared" si="54"/>
        <v>#REF!</v>
      </c>
      <c r="C563" s="6" t="s">
        <v>185</v>
      </c>
      <c r="D563" s="6" t="s">
        <v>818</v>
      </c>
    </row>
    <row r="564" ht="12.0" customHeight="1">
      <c r="B564" t="str">
        <f t="shared" si="54"/>
        <v>#REF!</v>
      </c>
      <c r="C564" s="6" t="s">
        <v>185</v>
      </c>
      <c r="D564" s="6" t="s">
        <v>819</v>
      </c>
    </row>
    <row r="565" ht="12.0" customHeight="1">
      <c r="B565" t="str">
        <f t="shared" si="54"/>
        <v>#REF!</v>
      </c>
      <c r="C565" s="6" t="s">
        <v>185</v>
      </c>
      <c r="D565" s="6" t="s">
        <v>820</v>
      </c>
    </row>
    <row r="566" ht="12.0" customHeight="1">
      <c r="B566" t="str">
        <f t="shared" si="54"/>
        <v>#REF!</v>
      </c>
      <c r="C566" s="6" t="s">
        <v>185</v>
      </c>
      <c r="D566" s="6" t="s">
        <v>822</v>
      </c>
    </row>
    <row r="567" ht="12.0" customHeight="1">
      <c r="C567" s="6"/>
    </row>
    <row r="568" ht="12.0" customHeight="1">
      <c r="B568" s="22" t="s">
        <v>174</v>
      </c>
    </row>
    <row r="569" ht="12.0" customHeight="1">
      <c r="B569" s="36" t="s">
        <v>824</v>
      </c>
    </row>
    <row r="570" ht="12.0" customHeight="1">
      <c r="B570" s="22" t="s">
        <v>174</v>
      </c>
    </row>
    <row r="571" ht="12.0" customHeight="1">
      <c r="B571" s="6" t="s">
        <v>179</v>
      </c>
      <c r="C571" s="6" t="s">
        <v>229</v>
      </c>
    </row>
    <row r="572" ht="12.0" customHeight="1">
      <c r="B572" t="str">
        <f t="shared" ref="B572:B583" si="55">round(1/('Exile INPUT'!J496)*100)</f>
        <v>#REF!</v>
      </c>
      <c r="C572" s="6" t="s">
        <v>185</v>
      </c>
      <c r="D572" s="6" t="s">
        <v>827</v>
      </c>
    </row>
    <row r="573" ht="12.0" customHeight="1">
      <c r="B573" t="str">
        <f t="shared" si="55"/>
        <v>#REF!</v>
      </c>
      <c r="C573" s="6" t="s">
        <v>185</v>
      </c>
      <c r="D573" s="6" t="s">
        <v>828</v>
      </c>
    </row>
    <row r="574" ht="12.0" customHeight="1">
      <c r="B574" t="str">
        <f t="shared" si="55"/>
        <v>#REF!</v>
      </c>
      <c r="C574" s="6" t="s">
        <v>185</v>
      </c>
      <c r="D574" s="6" t="s">
        <v>831</v>
      </c>
    </row>
    <row r="575" ht="12.0" customHeight="1">
      <c r="B575" t="str">
        <f t="shared" si="55"/>
        <v>#REF!</v>
      </c>
      <c r="C575" s="6" t="s">
        <v>185</v>
      </c>
      <c r="D575" s="6" t="s">
        <v>832</v>
      </c>
    </row>
    <row r="576" ht="12.0" customHeight="1">
      <c r="B576" t="str">
        <f t="shared" si="55"/>
        <v>#REF!</v>
      </c>
      <c r="C576" s="6" t="s">
        <v>185</v>
      </c>
      <c r="D576" s="6" t="s">
        <v>833</v>
      </c>
    </row>
    <row r="577" ht="12.0" customHeight="1">
      <c r="B577" t="str">
        <f t="shared" si="55"/>
        <v>#REF!</v>
      </c>
      <c r="C577" s="6" t="s">
        <v>185</v>
      </c>
      <c r="D577" s="6" t="s">
        <v>834</v>
      </c>
    </row>
    <row r="578" ht="12.0" customHeight="1">
      <c r="B578" t="str">
        <f t="shared" si="55"/>
        <v>#REF!</v>
      </c>
      <c r="C578" s="6" t="s">
        <v>185</v>
      </c>
      <c r="D578" s="6" t="s">
        <v>837</v>
      </c>
    </row>
    <row r="579" ht="12.0" customHeight="1">
      <c r="B579" t="str">
        <f t="shared" si="55"/>
        <v>#REF!</v>
      </c>
      <c r="C579" s="6" t="s">
        <v>185</v>
      </c>
      <c r="D579" s="6" t="s">
        <v>838</v>
      </c>
    </row>
    <row r="580" ht="12.0" customHeight="1">
      <c r="B580" t="str">
        <f t="shared" si="55"/>
        <v>#REF!</v>
      </c>
      <c r="C580" s="6" t="s">
        <v>185</v>
      </c>
      <c r="D580" s="6" t="s">
        <v>839</v>
      </c>
    </row>
    <row r="581" ht="12.0" customHeight="1">
      <c r="B581" t="str">
        <f t="shared" si="55"/>
        <v>#REF!</v>
      </c>
      <c r="C581" s="6" t="s">
        <v>185</v>
      </c>
      <c r="D581" s="6" t="s">
        <v>842</v>
      </c>
      <c r="I581" s="6"/>
    </row>
    <row r="582" ht="12.0" customHeight="1">
      <c r="B582" t="str">
        <f t="shared" si="55"/>
        <v>#REF!</v>
      </c>
      <c r="C582" s="6" t="s">
        <v>185</v>
      </c>
      <c r="D582" s="6" t="s">
        <v>843</v>
      </c>
    </row>
    <row r="583" ht="12.0" customHeight="1">
      <c r="B583" t="str">
        <f t="shared" si="55"/>
        <v>#REF!</v>
      </c>
      <c r="C583" s="6" t="s">
        <v>185</v>
      </c>
      <c r="D583" s="6" t="s">
        <v>844</v>
      </c>
    </row>
    <row r="584" ht="12.0" customHeight="1">
      <c r="B584" s="6">
        <v>10.0</v>
      </c>
      <c r="C584" s="6" t="s">
        <v>185</v>
      </c>
      <c r="D584" s="6" t="s">
        <v>845</v>
      </c>
    </row>
    <row r="585" ht="12.0" customHeight="1">
      <c r="B585" s="6">
        <v>10.0</v>
      </c>
      <c r="C585" s="6" t="s">
        <v>185</v>
      </c>
      <c r="D585" s="6" t="s">
        <v>848</v>
      </c>
    </row>
    <row r="586" ht="12.0" customHeight="1">
      <c r="B586" s="6">
        <v>10.0</v>
      </c>
      <c r="C586" s="6" t="s">
        <v>185</v>
      </c>
      <c r="D586" s="6" t="s">
        <v>849</v>
      </c>
    </row>
    <row r="587" ht="12.0" customHeight="1">
      <c r="B587" s="6">
        <v>3.0</v>
      </c>
      <c r="C587" s="6" t="s">
        <v>185</v>
      </c>
      <c r="D587" s="6" t="s">
        <v>850</v>
      </c>
    </row>
    <row r="588" ht="12.0" customHeight="1">
      <c r="B588" s="6">
        <v>3.0</v>
      </c>
      <c r="C588" s="6" t="s">
        <v>185</v>
      </c>
      <c r="D588" s="6" t="s">
        <v>851</v>
      </c>
    </row>
    <row r="589" ht="12.0" customHeight="1">
      <c r="B589" t="str">
        <f>round(1/('Exile INPUT'!J486)*100)</f>
        <v>#REF!</v>
      </c>
      <c r="C589" s="6" t="s">
        <v>185</v>
      </c>
      <c r="D589" s="6" t="s">
        <v>854</v>
      </c>
    </row>
    <row r="590" ht="12.0" customHeight="1"/>
    <row r="591" ht="12.0" customHeight="1">
      <c r="B591" s="6" t="s">
        <v>179</v>
      </c>
      <c r="C591" s="6" t="s">
        <v>231</v>
      </c>
    </row>
    <row r="592" ht="12.0" customHeight="1">
      <c r="B592" t="str">
        <f t="shared" ref="B592:B597" si="56">round(1/('Exile INPUT'!J515)*100)</f>
        <v>#REF!</v>
      </c>
      <c r="C592" s="6" t="s">
        <v>185</v>
      </c>
      <c r="D592" s="6" t="s">
        <v>857</v>
      </c>
    </row>
    <row r="593" ht="12.0" customHeight="1">
      <c r="B593" t="str">
        <f t="shared" si="56"/>
        <v>#REF!</v>
      </c>
      <c r="C593" s="6" t="s">
        <v>185</v>
      </c>
      <c r="D593" s="6" t="s">
        <v>858</v>
      </c>
    </row>
    <row r="594" ht="12.0" customHeight="1">
      <c r="B594" t="str">
        <f t="shared" si="56"/>
        <v>#REF!</v>
      </c>
      <c r="C594" s="6" t="s">
        <v>185</v>
      </c>
      <c r="D594" s="6" t="s">
        <v>861</v>
      </c>
    </row>
    <row r="595" ht="12.0" customHeight="1">
      <c r="B595" t="str">
        <f t="shared" si="56"/>
        <v>#REF!</v>
      </c>
      <c r="C595" s="6" t="s">
        <v>185</v>
      </c>
      <c r="D595" s="6" t="s">
        <v>862</v>
      </c>
    </row>
    <row r="596" ht="12.0" customHeight="1">
      <c r="B596" t="str">
        <f t="shared" si="56"/>
        <v>#REF!</v>
      </c>
      <c r="C596" s="6" t="s">
        <v>185</v>
      </c>
      <c r="D596" s="6" t="s">
        <v>863</v>
      </c>
    </row>
    <row r="597" ht="12.0" customHeight="1">
      <c r="B597" t="str">
        <f t="shared" si="56"/>
        <v>#REF!</v>
      </c>
      <c r="C597" s="6" t="s">
        <v>185</v>
      </c>
      <c r="D597" s="6" t="s">
        <v>864</v>
      </c>
    </row>
    <row r="598" ht="12.0" customHeight="1">
      <c r="B598" s="6">
        <v>6.0</v>
      </c>
      <c r="C598" s="6" t="s">
        <v>185</v>
      </c>
      <c r="D598" s="6" t="s">
        <v>865</v>
      </c>
      <c r="I598" s="6"/>
    </row>
    <row r="599" ht="12.0" customHeight="1">
      <c r="C599" s="6"/>
    </row>
    <row r="600" ht="12.0" customHeight="1">
      <c r="B600" s="22" t="s">
        <v>174</v>
      </c>
      <c r="C600" s="6"/>
    </row>
    <row r="601" ht="12.0" customHeight="1">
      <c r="B601" s="36" t="s">
        <v>866</v>
      </c>
      <c r="C601" s="6"/>
    </row>
    <row r="602" ht="12.0" customHeight="1">
      <c r="B602" s="22" t="s">
        <v>174</v>
      </c>
      <c r="C602" s="6"/>
    </row>
    <row r="603" ht="12.0" customHeight="1">
      <c r="B603" s="6" t="s">
        <v>179</v>
      </c>
      <c r="C603" s="6" t="s">
        <v>232</v>
      </c>
    </row>
    <row r="604" ht="12.0" customHeight="1">
      <c r="B604" s="6">
        <v>30.0</v>
      </c>
      <c r="C604" s="6" t="s">
        <v>185</v>
      </c>
      <c r="D604" s="6" t="s">
        <v>869</v>
      </c>
    </row>
    <row r="605" ht="12.0" customHeight="1">
      <c r="B605" s="6">
        <v>20.0</v>
      </c>
      <c r="C605" s="6" t="s">
        <v>185</v>
      </c>
      <c r="D605" s="6" t="s">
        <v>870</v>
      </c>
    </row>
    <row r="606" ht="12.0" customHeight="1">
      <c r="B606" s="6">
        <v>30.0</v>
      </c>
      <c r="C606" s="6" t="s">
        <v>185</v>
      </c>
      <c r="D606" s="6" t="s">
        <v>871</v>
      </c>
    </row>
    <row r="607" ht="12.0" customHeight="1">
      <c r="B607" s="6">
        <v>20.0</v>
      </c>
      <c r="C607" s="6" t="s">
        <v>185</v>
      </c>
      <c r="D607" s="6" t="s">
        <v>872</v>
      </c>
    </row>
    <row r="608" ht="12.0" customHeight="1"/>
    <row r="609" ht="12.0" customHeight="1">
      <c r="B609" s="6" t="s">
        <v>179</v>
      </c>
      <c r="C609" s="6" t="s">
        <v>234</v>
      </c>
    </row>
    <row r="610" ht="12.0" customHeight="1">
      <c r="B610" s="6">
        <v>25.0</v>
      </c>
      <c r="C610" s="6" t="s">
        <v>185</v>
      </c>
      <c r="D610" s="6" t="s">
        <v>873</v>
      </c>
    </row>
    <row r="611" ht="12.0" customHeight="1">
      <c r="B611" s="6">
        <v>25.0</v>
      </c>
      <c r="C611" s="6" t="s">
        <v>185</v>
      </c>
      <c r="D611" s="6" t="s">
        <v>875</v>
      </c>
    </row>
    <row r="612" ht="12.0" customHeight="1">
      <c r="B612" s="6">
        <v>25.0</v>
      </c>
      <c r="C612" s="6" t="s">
        <v>185</v>
      </c>
      <c r="D612" s="6" t="s">
        <v>877</v>
      </c>
    </row>
    <row r="613" ht="12.0" customHeight="1">
      <c r="B613" s="6">
        <v>25.0</v>
      </c>
      <c r="C613" s="6" t="s">
        <v>185</v>
      </c>
      <c r="D613" s="6" t="s">
        <v>878</v>
      </c>
    </row>
    <row r="614" ht="12.0" customHeight="1"/>
    <row r="615" ht="12.0" customHeight="1">
      <c r="B615" s="6" t="s">
        <v>179</v>
      </c>
      <c r="C615" s="6" t="s">
        <v>235</v>
      </c>
    </row>
    <row r="616" ht="12.0" customHeight="1">
      <c r="B616" s="6">
        <v>100.0</v>
      </c>
      <c r="C616" s="6" t="s">
        <v>185</v>
      </c>
      <c r="D616" s="38" t="s">
        <v>879</v>
      </c>
    </row>
    <row r="617" ht="12.0" customHeight="1"/>
    <row r="618" ht="12.0" customHeight="1">
      <c r="B618" s="6" t="s">
        <v>179</v>
      </c>
      <c r="C618" s="6" t="s">
        <v>237</v>
      </c>
    </row>
    <row r="619" ht="12.0" customHeight="1">
      <c r="B619" s="6">
        <v>25.0</v>
      </c>
      <c r="C619" s="6" t="s">
        <v>185</v>
      </c>
      <c r="D619" s="38" t="s">
        <v>882</v>
      </c>
    </row>
    <row r="620" ht="12.0" customHeight="1">
      <c r="B620" s="6">
        <v>65.0</v>
      </c>
      <c r="C620" s="6" t="s">
        <v>185</v>
      </c>
      <c r="D620" s="6" t="s">
        <v>883</v>
      </c>
    </row>
    <row r="621" ht="12.0" customHeight="1">
      <c r="B621" s="6">
        <v>10.0</v>
      </c>
      <c r="C621" s="6" t="s">
        <v>185</v>
      </c>
      <c r="D621" s="38" t="s">
        <v>884</v>
      </c>
    </row>
    <row r="622" ht="12.0" customHeight="1"/>
    <row r="623" ht="12.0" customHeight="1">
      <c r="B623" s="6" t="s">
        <v>179</v>
      </c>
      <c r="C623" s="6" t="s">
        <v>238</v>
      </c>
    </row>
    <row r="624" ht="12.0" customHeight="1">
      <c r="B624" t="str">
        <f>round(1/('Exile INPUT'!J526)*10000)</f>
        <v>#REF!</v>
      </c>
      <c r="C624" s="6" t="s">
        <v>185</v>
      </c>
      <c r="D624" s="6" t="s">
        <v>891</v>
      </c>
    </row>
    <row r="625" ht="12.0" customHeight="1">
      <c r="B625" s="6">
        <v>30.0</v>
      </c>
      <c r="C625" s="6" t="s">
        <v>185</v>
      </c>
      <c r="D625" s="6" t="s">
        <v>892</v>
      </c>
    </row>
    <row r="626" ht="12.0" customHeight="1">
      <c r="B626" s="6">
        <v>60.0</v>
      </c>
      <c r="C626" s="6" t="s">
        <v>185</v>
      </c>
      <c r="D626" s="6" t="s">
        <v>893</v>
      </c>
    </row>
    <row r="627" ht="12.0" customHeight="1"/>
    <row r="628" ht="12.0" customHeight="1">
      <c r="B628" s="6" t="s">
        <v>179</v>
      </c>
      <c r="C628" s="6" t="s">
        <v>240</v>
      </c>
    </row>
    <row r="629" ht="12.0" customHeight="1">
      <c r="B629" s="6">
        <v>5.0</v>
      </c>
      <c r="C629" s="6" t="s">
        <v>185</v>
      </c>
      <c r="D629" s="6" t="s">
        <v>896</v>
      </c>
    </row>
    <row r="630" ht="12.0" customHeight="1">
      <c r="B630" s="6">
        <v>15.0</v>
      </c>
      <c r="C630" s="6" t="s">
        <v>185</v>
      </c>
      <c r="D630" s="6" t="s">
        <v>897</v>
      </c>
    </row>
    <row r="631" ht="12.0" customHeight="1">
      <c r="B631" s="6">
        <v>6.0</v>
      </c>
      <c r="C631" s="6" t="s">
        <v>185</v>
      </c>
      <c r="D631" s="6" t="s">
        <v>898</v>
      </c>
    </row>
    <row r="632" ht="12.0" customHeight="1">
      <c r="B632" s="6">
        <v>10.0</v>
      </c>
      <c r="C632" s="6" t="s">
        <v>185</v>
      </c>
      <c r="D632" s="6" t="s">
        <v>900</v>
      </c>
    </row>
    <row r="633" ht="12.0" customHeight="1">
      <c r="B633" s="6">
        <v>10.0</v>
      </c>
      <c r="C633" s="6" t="s">
        <v>185</v>
      </c>
      <c r="D633" s="6" t="s">
        <v>902</v>
      </c>
    </row>
    <row r="634" ht="12.0" customHeight="1">
      <c r="B634" s="6">
        <v>10.0</v>
      </c>
      <c r="C634" s="6" t="s">
        <v>185</v>
      </c>
      <c r="D634" s="6" t="s">
        <v>903</v>
      </c>
    </row>
    <row r="635" ht="12.0" customHeight="1">
      <c r="B635" s="6">
        <v>6.0</v>
      </c>
      <c r="C635" s="6" t="s">
        <v>185</v>
      </c>
      <c r="D635" s="6" t="s">
        <v>904</v>
      </c>
    </row>
    <row r="636" ht="12.0" customHeight="1">
      <c r="B636" s="6">
        <v>5.0</v>
      </c>
      <c r="C636" s="6" t="s">
        <v>185</v>
      </c>
      <c r="D636" s="6" t="s">
        <v>907</v>
      </c>
    </row>
    <row r="637" ht="12.0" customHeight="1">
      <c r="B637" s="6">
        <v>6.0</v>
      </c>
      <c r="C637" s="6" t="s">
        <v>185</v>
      </c>
      <c r="D637" s="6" t="s">
        <v>908</v>
      </c>
    </row>
    <row r="638" ht="12.0" customHeight="1">
      <c r="B638" s="6">
        <v>10.0</v>
      </c>
      <c r="C638" s="6" t="s">
        <v>185</v>
      </c>
      <c r="D638" s="38" t="s">
        <v>909</v>
      </c>
    </row>
    <row r="639" ht="12.0" customHeight="1">
      <c r="B639" s="6">
        <v>5.0</v>
      </c>
      <c r="C639" s="6" t="s">
        <v>185</v>
      </c>
      <c r="D639" s="38" t="s">
        <v>912</v>
      </c>
    </row>
    <row r="640" ht="12.0" customHeight="1">
      <c r="B640" s="6">
        <v>5.0</v>
      </c>
      <c r="C640" s="6" t="s">
        <v>185</v>
      </c>
      <c r="D640" s="38" t="s">
        <v>913</v>
      </c>
    </row>
    <row r="641" ht="12.0" customHeight="1">
      <c r="B641" s="6">
        <v>5.0</v>
      </c>
      <c r="C641" s="6" t="s">
        <v>185</v>
      </c>
      <c r="D641" s="36" t="s">
        <v>915</v>
      </c>
    </row>
    <row r="642" ht="12.0" customHeight="1">
      <c r="B642" s="6">
        <v>5.0</v>
      </c>
      <c r="C642" s="6" t="s">
        <v>185</v>
      </c>
      <c r="D642" s="36" t="s">
        <v>917</v>
      </c>
    </row>
    <row r="643" ht="12.0" customHeight="1">
      <c r="B643" s="6">
        <v>5.0</v>
      </c>
      <c r="C643" s="6" t="s">
        <v>185</v>
      </c>
      <c r="D643" s="6" t="s">
        <v>918</v>
      </c>
    </row>
    <row r="644" ht="12.0" customHeight="1">
      <c r="B644" s="6">
        <v>15.0</v>
      </c>
      <c r="C644" s="6" t="s">
        <v>185</v>
      </c>
      <c r="D644" s="36" t="s">
        <v>920</v>
      </c>
    </row>
    <row r="645" ht="12.0" customHeight="1"/>
    <row r="646" ht="12.0" customHeight="1">
      <c r="B646" s="6" t="s">
        <v>179</v>
      </c>
      <c r="C646" s="6" t="s">
        <v>241</v>
      </c>
      <c r="D646" s="6"/>
    </row>
    <row r="647" ht="12.0" customHeight="1">
      <c r="B647" s="6">
        <v>10.0</v>
      </c>
      <c r="C647" s="6" t="s">
        <v>185</v>
      </c>
      <c r="D647" s="6" t="s">
        <v>922</v>
      </c>
    </row>
    <row r="648" ht="12.0" customHeight="1">
      <c r="B648" s="6">
        <v>10.0</v>
      </c>
      <c r="C648" s="6" t="s">
        <v>185</v>
      </c>
      <c r="D648" s="6" t="s">
        <v>923</v>
      </c>
    </row>
    <row r="649" ht="12.0" customHeight="1">
      <c r="B649" s="6">
        <v>10.0</v>
      </c>
      <c r="C649" s="6" t="s">
        <v>185</v>
      </c>
      <c r="D649" s="6" t="s">
        <v>926</v>
      </c>
      <c r="G649" s="6"/>
    </row>
    <row r="650" ht="12.0" customHeight="1"/>
    <row r="651" ht="12.0" customHeight="1">
      <c r="B651" s="6" t="s">
        <v>179</v>
      </c>
      <c r="C651" s="6" t="s">
        <v>927</v>
      </c>
      <c r="D651" s="6"/>
    </row>
    <row r="652" ht="12.0" customHeight="1">
      <c r="B652" s="6">
        <v>1.0</v>
      </c>
      <c r="C652" s="6" t="s">
        <v>185</v>
      </c>
      <c r="D652" s="6" t="s">
        <v>928</v>
      </c>
    </row>
    <row r="653" ht="12.0" customHeight="1">
      <c r="B653" s="6">
        <v>1.0</v>
      </c>
      <c r="C653" s="6" t="s">
        <v>185</v>
      </c>
      <c r="D653" s="6" t="s">
        <v>929</v>
      </c>
    </row>
    <row r="654" ht="12.0" customHeight="1">
      <c r="B654" s="6">
        <v>1.0</v>
      </c>
      <c r="C654" s="6" t="s">
        <v>185</v>
      </c>
      <c r="D654" s="6" t="s">
        <v>932</v>
      </c>
    </row>
    <row r="655" ht="12.0" customHeight="1">
      <c r="B655" s="6">
        <v>1.0</v>
      </c>
      <c r="C655" s="6" t="s">
        <v>185</v>
      </c>
      <c r="D655" s="6" t="s">
        <v>918</v>
      </c>
    </row>
    <row r="656" ht="12.0" customHeight="1">
      <c r="B656" s="6">
        <v>1.0</v>
      </c>
      <c r="C656" s="6" t="s">
        <v>185</v>
      </c>
      <c r="D656" s="6" t="s">
        <v>933</v>
      </c>
    </row>
    <row r="657" ht="12.0" customHeight="1">
      <c r="B657" s="6">
        <v>1.0</v>
      </c>
      <c r="C657" s="6" t="s">
        <v>185</v>
      </c>
      <c r="D657" s="6" t="s">
        <v>934</v>
      </c>
    </row>
    <row r="658" ht="12.0" customHeight="1">
      <c r="B658" s="6">
        <v>1.0</v>
      </c>
      <c r="C658" s="6" t="s">
        <v>185</v>
      </c>
      <c r="D658" s="6" t="s">
        <v>935</v>
      </c>
    </row>
    <row r="659" ht="12.0" customHeight="1">
      <c r="B659" s="6">
        <v>1.0</v>
      </c>
      <c r="C659" s="6" t="s">
        <v>185</v>
      </c>
      <c r="D659" s="6" t="s">
        <v>938</v>
      </c>
    </row>
    <row r="660" ht="12.0" customHeight="1">
      <c r="B660" s="6">
        <v>1.0</v>
      </c>
      <c r="C660" s="6" t="s">
        <v>185</v>
      </c>
      <c r="D660" s="6" t="s">
        <v>939</v>
      </c>
    </row>
    <row r="661" ht="12.0" customHeight="1">
      <c r="B661" s="6">
        <v>1.0</v>
      </c>
      <c r="C661" s="6" t="s">
        <v>185</v>
      </c>
      <c r="D661" s="6" t="s">
        <v>940</v>
      </c>
    </row>
    <row r="662" ht="12.0" customHeight="1">
      <c r="B662" s="6">
        <v>1.0</v>
      </c>
      <c r="C662" s="6" t="s">
        <v>185</v>
      </c>
      <c r="D662" s="6" t="s">
        <v>942</v>
      </c>
    </row>
    <row r="663" ht="12.0" customHeight="1">
      <c r="B663" s="6">
        <v>1.0</v>
      </c>
      <c r="C663" s="6" t="s">
        <v>185</v>
      </c>
      <c r="D663" s="6" t="s">
        <v>944</v>
      </c>
    </row>
    <row r="664" ht="12.0" customHeight="1">
      <c r="B664" s="6">
        <v>1.0</v>
      </c>
      <c r="C664" s="6" t="s">
        <v>185</v>
      </c>
      <c r="D664" s="6" t="s">
        <v>945</v>
      </c>
    </row>
    <row r="665" ht="12.0" customHeight="1">
      <c r="B665" s="6">
        <v>1.0</v>
      </c>
      <c r="C665" s="6" t="s">
        <v>185</v>
      </c>
      <c r="D665" s="6" t="s">
        <v>946</v>
      </c>
    </row>
    <row r="666" ht="12.0" customHeight="1">
      <c r="B666" s="6">
        <v>1.0</v>
      </c>
      <c r="C666" s="6" t="s">
        <v>185</v>
      </c>
      <c r="D666" s="6" t="s">
        <v>947</v>
      </c>
    </row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.57"/>
    <col customWidth="1" min="2" max="2" width="4.0"/>
    <col customWidth="1" min="3" max="3" width="2.43"/>
  </cols>
  <sheetData>
    <row r="1" ht="12.75" customHeight="1">
      <c r="A1" s="6" t="s">
        <v>967</v>
      </c>
      <c r="B1" s="6"/>
    </row>
    <row r="2" ht="12.75" customHeight="1"/>
    <row r="3" ht="12.75" customHeight="1"/>
    <row r="4" ht="12.75" customHeight="1">
      <c r="I4" s="29" t="s">
        <v>172</v>
      </c>
      <c r="J4" s="6"/>
      <c r="K4" s="6"/>
      <c r="L4" s="6"/>
      <c r="M4" s="6"/>
      <c r="N4" s="6"/>
      <c r="O4" s="6"/>
    </row>
    <row r="5" ht="12.75" customHeight="1">
      <c r="A5" s="6"/>
      <c r="B5" s="6" t="s">
        <v>51</v>
      </c>
      <c r="I5" s="6" t="s">
        <v>175</v>
      </c>
      <c r="J5" s="6"/>
      <c r="K5" s="6"/>
      <c r="L5" s="6"/>
      <c r="N5" s="6"/>
    </row>
    <row r="6" ht="12.75" customHeight="1">
      <c r="A6" s="6"/>
      <c r="B6" s="6" t="s">
        <v>52</v>
      </c>
      <c r="I6" s="6" t="s">
        <v>177</v>
      </c>
      <c r="K6" s="6"/>
      <c r="O6" s="6"/>
    </row>
    <row r="7" ht="12.75" customHeight="1">
      <c r="A7" s="6"/>
      <c r="B7" s="6" t="s">
        <v>51</v>
      </c>
      <c r="I7" s="6" t="s">
        <v>178</v>
      </c>
      <c r="J7" s="6"/>
    </row>
    <row r="8" ht="12.75" customHeight="1">
      <c r="A8" s="6"/>
      <c r="B8" s="6" t="s">
        <v>55</v>
      </c>
      <c r="I8" s="6" t="s">
        <v>180</v>
      </c>
      <c r="K8" s="6"/>
      <c r="O8" s="6"/>
    </row>
    <row r="9" ht="12.75" customHeight="1">
      <c r="B9" s="6">
        <v>10.0</v>
      </c>
      <c r="C9" s="6" t="s">
        <v>185</v>
      </c>
      <c r="D9" s="6" t="s">
        <v>175</v>
      </c>
      <c r="I9" s="6" t="s">
        <v>187</v>
      </c>
      <c r="J9" s="6"/>
      <c r="L9" s="6"/>
      <c r="N9" s="6"/>
    </row>
    <row r="10" ht="12.75" customHeight="1">
      <c r="B10" s="6">
        <v>5.0</v>
      </c>
      <c r="C10" s="6" t="s">
        <v>185</v>
      </c>
      <c r="D10" s="6" t="s">
        <v>178</v>
      </c>
      <c r="I10" s="6" t="s">
        <v>190</v>
      </c>
      <c r="K10" s="6"/>
      <c r="O10" s="6"/>
    </row>
    <row r="11" ht="12.75" customHeight="1">
      <c r="B11" s="6">
        <v>20.0</v>
      </c>
      <c r="C11" s="6" t="s">
        <v>185</v>
      </c>
      <c r="D11" s="6" t="s">
        <v>187</v>
      </c>
      <c r="I11" s="6" t="s">
        <v>192</v>
      </c>
      <c r="K11" s="6"/>
      <c r="O11" s="6"/>
    </row>
    <row r="12" ht="12.75" customHeight="1">
      <c r="B12" s="6">
        <v>20.0</v>
      </c>
      <c r="C12" s="6" t="s">
        <v>185</v>
      </c>
      <c r="D12" s="6" t="s">
        <v>195</v>
      </c>
      <c r="I12" s="6" t="s">
        <v>195</v>
      </c>
      <c r="K12" s="6"/>
      <c r="O12" s="6"/>
    </row>
    <row r="13" ht="12.75" customHeight="1">
      <c r="B13" s="6">
        <v>8.0</v>
      </c>
      <c r="C13" s="6" t="s">
        <v>185</v>
      </c>
      <c r="D13" s="6" t="s">
        <v>206</v>
      </c>
      <c r="I13" s="6" t="s">
        <v>196</v>
      </c>
      <c r="K13" s="6"/>
      <c r="O13" s="6"/>
    </row>
    <row r="14" ht="12.75" customHeight="1">
      <c r="B14" s="6">
        <v>8.0</v>
      </c>
      <c r="C14" s="6" t="s">
        <v>185</v>
      </c>
      <c r="D14" s="6" t="s">
        <v>211</v>
      </c>
      <c r="I14" s="6" t="s">
        <v>197</v>
      </c>
      <c r="K14" s="6"/>
      <c r="O14" s="6"/>
    </row>
    <row r="15" ht="12.75" customHeight="1">
      <c r="B15" s="6">
        <v>4.0</v>
      </c>
      <c r="C15" s="6" t="s">
        <v>185</v>
      </c>
      <c r="D15" s="6" t="s">
        <v>216</v>
      </c>
      <c r="I15" s="6" t="s">
        <v>201</v>
      </c>
      <c r="K15" s="6"/>
      <c r="O15" s="6"/>
    </row>
    <row r="16" ht="12.75" customHeight="1">
      <c r="B16" s="6">
        <v>20.0</v>
      </c>
      <c r="C16" s="6" t="s">
        <v>185</v>
      </c>
      <c r="D16" s="6" t="s">
        <v>229</v>
      </c>
      <c r="I16" s="6" t="s">
        <v>203</v>
      </c>
      <c r="K16" s="6"/>
      <c r="O16" s="6"/>
    </row>
    <row r="17" ht="12.75" customHeight="1">
      <c r="B17" s="6">
        <v>10.0</v>
      </c>
      <c r="C17" s="6" t="s">
        <v>185</v>
      </c>
      <c r="D17" s="6" t="s">
        <v>231</v>
      </c>
      <c r="I17" s="6" t="s">
        <v>204</v>
      </c>
      <c r="K17" s="6"/>
      <c r="O17" s="6"/>
    </row>
    <row r="18" ht="12.75" customHeight="1">
      <c r="B18" s="6">
        <v>5.0</v>
      </c>
      <c r="C18" s="6" t="s">
        <v>185</v>
      </c>
      <c r="D18" s="6" t="s">
        <v>232</v>
      </c>
      <c r="I18" s="6" t="s">
        <v>206</v>
      </c>
      <c r="J18" s="6"/>
      <c r="L18" s="6"/>
      <c r="N18" s="6"/>
    </row>
    <row r="19" ht="12.75" customHeight="1">
      <c r="B19" s="6">
        <v>5.0</v>
      </c>
      <c r="C19" s="6" t="s">
        <v>185</v>
      </c>
      <c r="D19" s="6" t="s">
        <v>238</v>
      </c>
      <c r="I19" s="6" t="s">
        <v>207</v>
      </c>
      <c r="K19" s="6"/>
      <c r="O19" s="6"/>
    </row>
    <row r="20" ht="12.75" customHeight="1">
      <c r="B20" s="6">
        <v>20.0</v>
      </c>
      <c r="C20" s="6" t="s">
        <v>185</v>
      </c>
      <c r="D20" s="6" t="s">
        <v>241</v>
      </c>
      <c r="I20" s="6" t="s">
        <v>208</v>
      </c>
      <c r="N20" s="6"/>
    </row>
    <row r="21" ht="12.75" customHeight="1">
      <c r="B21" s="6">
        <v>1.0</v>
      </c>
      <c r="C21" s="6" t="s">
        <v>185</v>
      </c>
      <c r="D21" s="6" t="s">
        <v>235</v>
      </c>
      <c r="I21" s="6" t="s">
        <v>209</v>
      </c>
      <c r="N21" s="6"/>
    </row>
    <row r="22" ht="12.75" customHeight="1">
      <c r="B22" s="6">
        <v>6.0</v>
      </c>
      <c r="C22" s="6" t="s">
        <v>185</v>
      </c>
      <c r="D22" s="6" t="s">
        <v>207</v>
      </c>
      <c r="I22" s="6"/>
      <c r="N22" s="6"/>
    </row>
    <row r="23" ht="12.75" customHeight="1">
      <c r="B23" s="6">
        <v>6.0</v>
      </c>
      <c r="C23" s="6" t="s">
        <v>185</v>
      </c>
      <c r="D23" s="6" t="s">
        <v>212</v>
      </c>
      <c r="I23" s="6"/>
      <c r="N23" s="6"/>
    </row>
    <row r="24" ht="12.75" customHeight="1">
      <c r="B24" s="6">
        <v>4.0</v>
      </c>
      <c r="C24" s="6" t="s">
        <v>185</v>
      </c>
      <c r="D24" s="6" t="s">
        <v>217</v>
      </c>
      <c r="I24" s="6"/>
      <c r="N24" s="6"/>
    </row>
    <row r="25" ht="12.75" customHeight="1">
      <c r="I25" s="6" t="s">
        <v>210</v>
      </c>
      <c r="N25" s="6"/>
    </row>
    <row r="26" ht="12.75" customHeight="1">
      <c r="A26" s="6"/>
      <c r="B26" s="6" t="s">
        <v>51</v>
      </c>
      <c r="I26" s="6" t="s">
        <v>211</v>
      </c>
      <c r="O26" s="6"/>
    </row>
    <row r="27" ht="12.75" customHeight="1">
      <c r="A27" s="6"/>
      <c r="B27" s="6" t="s">
        <v>77</v>
      </c>
      <c r="I27" s="6" t="s">
        <v>212</v>
      </c>
      <c r="O27" s="6"/>
    </row>
    <row r="28" ht="12.75" customHeight="1">
      <c r="A28" s="6"/>
      <c r="B28" s="6" t="s">
        <v>51</v>
      </c>
      <c r="I28" s="6" t="s">
        <v>213</v>
      </c>
      <c r="K28" s="6"/>
    </row>
    <row r="29" ht="12.75" customHeight="1">
      <c r="A29" s="6"/>
      <c r="B29" s="6" t="s">
        <v>78</v>
      </c>
      <c r="I29" s="6" t="s">
        <v>214</v>
      </c>
      <c r="J29" s="6"/>
      <c r="N29" s="6"/>
    </row>
    <row r="30" ht="12.75" customHeight="1">
      <c r="B30" s="6">
        <v>10.0</v>
      </c>
      <c r="C30" s="6" t="s">
        <v>185</v>
      </c>
      <c r="D30" s="6" t="s">
        <v>175</v>
      </c>
      <c r="I30" s="6" t="s">
        <v>215</v>
      </c>
      <c r="J30" s="6"/>
      <c r="N30" s="6"/>
    </row>
    <row r="31" ht="12.75" customHeight="1">
      <c r="B31" s="6">
        <v>5.0</v>
      </c>
      <c r="C31" s="6" t="s">
        <v>185</v>
      </c>
      <c r="D31" s="6" t="s">
        <v>178</v>
      </c>
      <c r="I31" s="6" t="s">
        <v>216</v>
      </c>
      <c r="O31" s="6"/>
    </row>
    <row r="32" ht="12.75" customHeight="1">
      <c r="B32" s="6">
        <v>20.0</v>
      </c>
      <c r="C32" s="6" t="s">
        <v>185</v>
      </c>
      <c r="D32" s="6" t="s">
        <v>187</v>
      </c>
      <c r="I32" s="6" t="s">
        <v>217</v>
      </c>
      <c r="O32" s="6"/>
    </row>
    <row r="33" ht="12.75" customHeight="1">
      <c r="B33" s="6">
        <v>20.0</v>
      </c>
      <c r="C33" s="6" t="s">
        <v>185</v>
      </c>
      <c r="D33" s="6" t="s">
        <v>195</v>
      </c>
      <c r="I33" s="6" t="s">
        <v>219</v>
      </c>
      <c r="O33" s="6"/>
    </row>
    <row r="34" ht="12.75" customHeight="1">
      <c r="B34" s="6">
        <v>12.0</v>
      </c>
      <c r="C34" s="6" t="s">
        <v>185</v>
      </c>
      <c r="D34" s="6" t="s">
        <v>206</v>
      </c>
      <c r="I34" s="6" t="s">
        <v>221</v>
      </c>
      <c r="O34" s="6"/>
    </row>
    <row r="35" ht="12.75" customHeight="1">
      <c r="B35" s="6">
        <v>12.0</v>
      </c>
      <c r="C35" s="6" t="s">
        <v>185</v>
      </c>
      <c r="D35" s="6" t="s">
        <v>211</v>
      </c>
      <c r="I35" s="6" t="s">
        <v>222</v>
      </c>
      <c r="O35" s="6"/>
    </row>
    <row r="36" ht="12.75" customHeight="1">
      <c r="B36" s="6">
        <v>6.0</v>
      </c>
      <c r="C36" s="6" t="s">
        <v>185</v>
      </c>
      <c r="D36" s="6" t="s">
        <v>216</v>
      </c>
      <c r="I36" s="6" t="s">
        <v>224</v>
      </c>
      <c r="O36" s="6"/>
    </row>
    <row r="37" ht="12.75" customHeight="1">
      <c r="B37" s="6">
        <v>20.0</v>
      </c>
      <c r="C37" s="6" t="s">
        <v>185</v>
      </c>
      <c r="D37" s="6" t="s">
        <v>229</v>
      </c>
      <c r="I37" s="6" t="s">
        <v>225</v>
      </c>
      <c r="O37" s="6"/>
    </row>
    <row r="38" ht="12.75" customHeight="1">
      <c r="B38" s="6">
        <v>10.0</v>
      </c>
      <c r="C38" s="6" t="s">
        <v>185</v>
      </c>
      <c r="D38" s="6" t="s">
        <v>231</v>
      </c>
      <c r="I38" s="6" t="s">
        <v>227</v>
      </c>
      <c r="O38" s="6"/>
    </row>
    <row r="39" ht="12.75" customHeight="1">
      <c r="B39" s="6">
        <v>5.0</v>
      </c>
      <c r="C39" s="6" t="s">
        <v>185</v>
      </c>
      <c r="D39" s="6" t="s">
        <v>232</v>
      </c>
      <c r="I39" s="6" t="s">
        <v>228</v>
      </c>
      <c r="O39" s="6"/>
    </row>
    <row r="40" ht="12.75" customHeight="1">
      <c r="B40" s="6">
        <v>5.0</v>
      </c>
      <c r="C40" s="6" t="s">
        <v>185</v>
      </c>
      <c r="D40" s="6" t="s">
        <v>238</v>
      </c>
      <c r="I40" s="6" t="s">
        <v>229</v>
      </c>
      <c r="O40" s="6"/>
    </row>
    <row r="41" ht="12.75" customHeight="1">
      <c r="B41" s="6">
        <v>20.0</v>
      </c>
      <c r="C41" s="6" t="s">
        <v>185</v>
      </c>
      <c r="D41" s="6" t="s">
        <v>241</v>
      </c>
      <c r="I41" s="6" t="s">
        <v>231</v>
      </c>
      <c r="O41" s="6"/>
    </row>
    <row r="42" ht="12.75" customHeight="1">
      <c r="B42" s="6">
        <v>1.0</v>
      </c>
      <c r="C42" s="6" t="s">
        <v>185</v>
      </c>
      <c r="D42" s="6" t="s">
        <v>235</v>
      </c>
      <c r="I42" s="6" t="s">
        <v>232</v>
      </c>
      <c r="O42" s="6"/>
    </row>
    <row r="43" ht="12.75" customHeight="1">
      <c r="B43" s="6">
        <v>8.0</v>
      </c>
      <c r="C43" s="6" t="s">
        <v>185</v>
      </c>
      <c r="D43" s="6" t="s">
        <v>207</v>
      </c>
      <c r="I43" s="6"/>
      <c r="O43" s="6"/>
    </row>
    <row r="44" ht="12.75" customHeight="1">
      <c r="B44" s="6">
        <v>8.0</v>
      </c>
      <c r="C44" s="6" t="s">
        <v>185</v>
      </c>
      <c r="D44" s="6" t="s">
        <v>212</v>
      </c>
      <c r="I44" s="6"/>
      <c r="O44" s="6"/>
    </row>
    <row r="45" ht="12.75" customHeight="1">
      <c r="B45" s="6">
        <v>6.0</v>
      </c>
      <c r="C45" s="6" t="s">
        <v>185</v>
      </c>
      <c r="D45" s="6" t="s">
        <v>217</v>
      </c>
      <c r="I45" s="6"/>
      <c r="O45" s="6"/>
    </row>
    <row r="46" ht="12.75" customHeight="1">
      <c r="I46" s="6" t="s">
        <v>234</v>
      </c>
      <c r="O46" s="6"/>
    </row>
    <row r="47" ht="12.75" customHeight="1">
      <c r="A47" s="6"/>
      <c r="B47" s="6" t="s">
        <v>51</v>
      </c>
      <c r="I47" s="6" t="s">
        <v>235</v>
      </c>
      <c r="K47" s="6"/>
    </row>
    <row r="48" ht="12.75" customHeight="1">
      <c r="A48" s="6"/>
      <c r="B48" s="6" t="s">
        <v>86</v>
      </c>
      <c r="I48" s="6" t="s">
        <v>237</v>
      </c>
      <c r="O48" s="6"/>
    </row>
    <row r="49" ht="12.75" customHeight="1">
      <c r="A49" s="6"/>
      <c r="B49" s="6" t="s">
        <v>51</v>
      </c>
      <c r="J49" s="6"/>
      <c r="N49" s="6"/>
    </row>
    <row r="50" ht="12.75" customHeight="1">
      <c r="A50" s="6"/>
      <c r="B50" s="6" t="s">
        <v>87</v>
      </c>
      <c r="N50" s="6"/>
    </row>
    <row r="51" ht="12.75" customHeight="1">
      <c r="B51" s="6">
        <v>10.0</v>
      </c>
      <c r="C51" s="6" t="s">
        <v>185</v>
      </c>
      <c r="D51" s="6" t="s">
        <v>175</v>
      </c>
      <c r="O51" s="6"/>
    </row>
    <row r="52" ht="12.75" customHeight="1">
      <c r="B52" s="6">
        <v>20.0</v>
      </c>
      <c r="C52" s="6" t="s">
        <v>185</v>
      </c>
      <c r="D52" s="6" t="s">
        <v>187</v>
      </c>
      <c r="I52" s="6"/>
      <c r="K52" s="6"/>
    </row>
    <row r="53" ht="12.75" customHeight="1">
      <c r="B53" s="6">
        <v>20.0</v>
      </c>
      <c r="C53" s="6" t="s">
        <v>185</v>
      </c>
      <c r="D53" s="6" t="s">
        <v>195</v>
      </c>
      <c r="I53" s="6"/>
      <c r="K53" s="6"/>
    </row>
    <row r="54" ht="12.75" customHeight="1">
      <c r="B54" s="6">
        <v>20.0</v>
      </c>
      <c r="C54" s="6" t="s">
        <v>185</v>
      </c>
      <c r="D54" s="6" t="s">
        <v>229</v>
      </c>
      <c r="I54" s="6"/>
      <c r="K54" s="6"/>
    </row>
    <row r="55" ht="12.75" customHeight="1">
      <c r="B55" s="6">
        <v>10.0</v>
      </c>
      <c r="C55" s="6" t="s">
        <v>185</v>
      </c>
      <c r="D55" s="6" t="s">
        <v>231</v>
      </c>
      <c r="I55" s="6"/>
      <c r="K55" s="6"/>
    </row>
    <row r="56" ht="12.75" customHeight="1">
      <c r="B56" s="6">
        <v>5.0</v>
      </c>
      <c r="C56" s="6" t="s">
        <v>185</v>
      </c>
      <c r="D56" s="6" t="s">
        <v>232</v>
      </c>
      <c r="I56" s="6"/>
      <c r="K56" s="6"/>
    </row>
    <row r="57" ht="12.75" customHeight="1">
      <c r="B57" s="6">
        <v>10.0</v>
      </c>
      <c r="C57" s="6" t="s">
        <v>185</v>
      </c>
      <c r="D57" s="6" t="s">
        <v>238</v>
      </c>
      <c r="I57" s="6"/>
      <c r="K57" s="6"/>
    </row>
    <row r="58" ht="12.75" customHeight="1">
      <c r="B58" s="6">
        <v>20.0</v>
      </c>
      <c r="C58" s="6" t="s">
        <v>185</v>
      </c>
      <c r="D58" s="6" t="s">
        <v>241</v>
      </c>
      <c r="I58" s="6"/>
      <c r="K58" s="6"/>
    </row>
    <row r="59" ht="12.75" customHeight="1">
      <c r="K59" s="6"/>
    </row>
    <row r="60" ht="12.75" customHeight="1">
      <c r="A60" s="6"/>
      <c r="B60" s="6" t="s">
        <v>51</v>
      </c>
      <c r="O60" s="6"/>
    </row>
    <row r="61" ht="12.75" customHeight="1">
      <c r="A61" s="6"/>
      <c r="B61" s="6" t="s">
        <v>1004</v>
      </c>
      <c r="J61" s="6"/>
      <c r="N61" s="6"/>
    </row>
    <row r="62" ht="12.75" customHeight="1">
      <c r="A62" s="6"/>
      <c r="B62" s="6" t="s">
        <v>51</v>
      </c>
      <c r="N62" s="6"/>
    </row>
    <row r="63" ht="12.75" customHeight="1">
      <c r="A63" s="6"/>
      <c r="B63" s="6" t="s">
        <v>101</v>
      </c>
      <c r="K63" s="6"/>
    </row>
    <row r="64" ht="12.75" customHeight="1">
      <c r="B64" s="6">
        <v>60.0</v>
      </c>
      <c r="C64" s="6" t="s">
        <v>185</v>
      </c>
      <c r="D64" s="6" t="s">
        <v>240</v>
      </c>
      <c r="K64" s="6"/>
      <c r="O64" s="6"/>
    </row>
    <row r="65" ht="12.75" customHeight="1">
      <c r="B65" s="6">
        <v>1.0</v>
      </c>
      <c r="C65" s="6" t="s">
        <v>185</v>
      </c>
      <c r="D65" s="6" t="s">
        <v>237</v>
      </c>
      <c r="I65" s="6"/>
      <c r="O65" s="6"/>
    </row>
    <row r="66" ht="12.75" customHeight="1">
      <c r="B66" s="6">
        <v>39.0</v>
      </c>
      <c r="C66" s="6" t="s">
        <v>185</v>
      </c>
      <c r="D66" s="6" t="s">
        <v>241</v>
      </c>
      <c r="I66" s="6"/>
      <c r="O66" s="6"/>
    </row>
    <row r="67" ht="12.75" customHeight="1">
      <c r="O67" s="6"/>
    </row>
    <row r="68" ht="12.75" customHeight="1">
      <c r="A68" s="6"/>
      <c r="B68" s="6" t="s">
        <v>51</v>
      </c>
      <c r="K68" s="6"/>
      <c r="N68" s="6"/>
    </row>
    <row r="69" ht="12.75" customHeight="1">
      <c r="A69" s="6"/>
      <c r="B69" s="6" t="s">
        <v>110</v>
      </c>
      <c r="K69" s="6"/>
      <c r="N69" s="6"/>
      <c r="O69" s="6"/>
    </row>
    <row r="70" ht="12.75" customHeight="1">
      <c r="A70" s="6"/>
      <c r="B70" s="6" t="s">
        <v>51</v>
      </c>
      <c r="O70" s="6"/>
    </row>
    <row r="71" ht="12.75" customHeight="1">
      <c r="A71" s="6"/>
      <c r="B71" s="6" t="s">
        <v>111</v>
      </c>
      <c r="K71" s="6"/>
      <c r="O71" s="6"/>
    </row>
    <row r="72" ht="12.75" customHeight="1">
      <c r="B72" s="6">
        <v>60.0</v>
      </c>
      <c r="C72" s="6" t="s">
        <v>185</v>
      </c>
      <c r="D72" s="6" t="s">
        <v>240</v>
      </c>
      <c r="J72" s="6"/>
      <c r="L72" s="6"/>
      <c r="N72" s="6"/>
    </row>
    <row r="73" ht="12.75" customHeight="1">
      <c r="B73" s="6">
        <v>38.0</v>
      </c>
      <c r="C73" s="6" t="s">
        <v>185</v>
      </c>
      <c r="D73" s="6" t="s">
        <v>241</v>
      </c>
      <c r="I73" s="6"/>
      <c r="J73" s="6"/>
      <c r="L73" s="6"/>
      <c r="N73" s="6"/>
    </row>
    <row r="74" ht="12.75" customHeight="1">
      <c r="B74" s="6">
        <v>1.0</v>
      </c>
      <c r="C74" s="6" t="s">
        <v>185</v>
      </c>
      <c r="D74" s="6" t="s">
        <v>237</v>
      </c>
      <c r="I74" s="6"/>
      <c r="J74" s="6"/>
      <c r="L74" s="6"/>
      <c r="N74" s="6"/>
    </row>
    <row r="75" ht="12.75" customHeight="1">
      <c r="B75" s="6">
        <v>1.0</v>
      </c>
      <c r="C75" s="6" t="s">
        <v>185</v>
      </c>
      <c r="D75" s="6" t="s">
        <v>227</v>
      </c>
      <c r="I75" s="6"/>
      <c r="J75" s="6"/>
      <c r="L75" s="6"/>
      <c r="N75" s="6"/>
    </row>
    <row r="76" ht="12.75" customHeight="1">
      <c r="J76" s="6"/>
      <c r="L76" s="6"/>
      <c r="N76" s="6"/>
    </row>
    <row r="77" ht="12.75" customHeight="1">
      <c r="A77" s="6"/>
      <c r="B77" s="6" t="s">
        <v>51</v>
      </c>
      <c r="J77" s="6"/>
      <c r="L77" s="6"/>
      <c r="N77" s="6"/>
    </row>
    <row r="78" ht="12.75" customHeight="1">
      <c r="A78" s="6"/>
      <c r="B78" s="6" t="s">
        <v>115</v>
      </c>
      <c r="K78" s="6"/>
      <c r="O78" s="6"/>
    </row>
    <row r="79" ht="12.75" customHeight="1">
      <c r="A79" s="6"/>
      <c r="B79" s="6" t="s">
        <v>51</v>
      </c>
      <c r="O79" s="6"/>
    </row>
    <row r="80" ht="12.75" customHeight="1">
      <c r="A80" s="6"/>
      <c r="B80" s="6" t="s">
        <v>116</v>
      </c>
      <c r="O80" s="6"/>
    </row>
    <row r="81" ht="12.75" customHeight="1">
      <c r="B81" s="6">
        <v>10.0</v>
      </c>
      <c r="C81" s="6" t="s">
        <v>185</v>
      </c>
      <c r="D81" s="6" t="s">
        <v>177</v>
      </c>
      <c r="I81" s="6"/>
      <c r="J81" s="6"/>
      <c r="K81" s="6"/>
      <c r="L81" s="6"/>
      <c r="N81" s="6"/>
      <c r="O81" s="6"/>
    </row>
    <row r="82" ht="12.75" customHeight="1">
      <c r="B82" s="6">
        <v>5.0</v>
      </c>
      <c r="C82" s="6" t="s">
        <v>185</v>
      </c>
      <c r="D82" s="6" t="s">
        <v>180</v>
      </c>
      <c r="I82" s="6"/>
      <c r="J82" s="6"/>
      <c r="K82" s="6"/>
      <c r="L82" s="6"/>
      <c r="N82" s="6"/>
      <c r="O82" s="6"/>
    </row>
    <row r="83" ht="12.75" customHeight="1">
      <c r="B83" s="6">
        <v>10.0</v>
      </c>
      <c r="C83" s="6" t="s">
        <v>185</v>
      </c>
      <c r="D83" s="6" t="s">
        <v>190</v>
      </c>
      <c r="I83" s="6"/>
      <c r="J83" s="6"/>
      <c r="K83" s="6"/>
      <c r="L83" s="6"/>
      <c r="N83" s="6"/>
      <c r="O83" s="6"/>
    </row>
    <row r="84" ht="12.75" customHeight="1">
      <c r="B84" s="6">
        <v>10.0</v>
      </c>
      <c r="C84" s="6" t="s">
        <v>185</v>
      </c>
      <c r="D84" s="6" t="s">
        <v>192</v>
      </c>
      <c r="I84" s="6"/>
      <c r="J84" s="6"/>
      <c r="K84" s="6"/>
      <c r="L84" s="6"/>
      <c r="N84" s="6"/>
      <c r="O84" s="6"/>
    </row>
    <row r="85" ht="12.75" customHeight="1">
      <c r="B85" s="6">
        <v>10.0</v>
      </c>
      <c r="C85" s="6" t="s">
        <v>185</v>
      </c>
      <c r="D85" s="6" t="s">
        <v>196</v>
      </c>
      <c r="I85" s="6"/>
      <c r="J85" s="6"/>
      <c r="K85" s="6"/>
      <c r="L85" s="6"/>
      <c r="N85" s="6"/>
      <c r="O85" s="6"/>
    </row>
    <row r="86" ht="12.75" customHeight="1">
      <c r="B86" s="6">
        <v>10.0</v>
      </c>
      <c r="C86" s="6" t="s">
        <v>185</v>
      </c>
      <c r="D86" s="6" t="s">
        <v>204</v>
      </c>
      <c r="I86" s="6"/>
      <c r="J86" s="6"/>
      <c r="K86" s="6"/>
      <c r="L86" s="6"/>
      <c r="N86" s="6"/>
      <c r="O86" s="6"/>
    </row>
    <row r="87" ht="12.75" customHeight="1">
      <c r="B87" s="6">
        <v>10.0</v>
      </c>
      <c r="C87" s="6" t="s">
        <v>185</v>
      </c>
      <c r="D87" s="6" t="s">
        <v>209</v>
      </c>
      <c r="I87" s="6"/>
      <c r="J87" s="6"/>
      <c r="K87" s="6"/>
      <c r="L87" s="6"/>
      <c r="N87" s="6"/>
      <c r="O87" s="6"/>
    </row>
    <row r="88" ht="12.75" customHeight="1">
      <c r="B88" s="6">
        <v>15.0</v>
      </c>
      <c r="C88" s="6" t="s">
        <v>185</v>
      </c>
      <c r="D88" s="6" t="s">
        <v>214</v>
      </c>
      <c r="I88" s="6"/>
      <c r="J88" s="6"/>
      <c r="K88" s="6"/>
      <c r="L88" s="6"/>
      <c r="N88" s="6"/>
      <c r="O88" s="6"/>
    </row>
    <row r="89" ht="12.75" customHeight="1">
      <c r="B89" s="6">
        <v>15.0</v>
      </c>
      <c r="C89" s="6" t="s">
        <v>185</v>
      </c>
      <c r="D89" s="6" t="s">
        <v>219</v>
      </c>
      <c r="I89" s="6"/>
      <c r="J89" s="6"/>
      <c r="K89" s="6"/>
      <c r="L89" s="6"/>
      <c r="N89" s="6"/>
      <c r="O89" s="6"/>
    </row>
    <row r="90" ht="12.75" customHeight="1">
      <c r="B90" s="6">
        <v>10.0</v>
      </c>
      <c r="C90" s="6" t="s">
        <v>185</v>
      </c>
      <c r="D90" s="6" t="s">
        <v>221</v>
      </c>
      <c r="I90" s="6"/>
      <c r="J90" s="6"/>
      <c r="K90" s="6"/>
      <c r="L90" s="6"/>
      <c r="N90" s="6"/>
      <c r="O90" s="6"/>
    </row>
    <row r="91" ht="12.75" customHeight="1">
      <c r="B91" s="6">
        <v>10.0</v>
      </c>
      <c r="C91" s="6" t="s">
        <v>185</v>
      </c>
      <c r="D91" s="6" t="s">
        <v>224</v>
      </c>
      <c r="I91" s="6"/>
      <c r="J91" s="6"/>
      <c r="K91" s="6"/>
      <c r="L91" s="6"/>
      <c r="N91" s="6"/>
      <c r="O91" s="6"/>
    </row>
    <row r="92" ht="12.75" customHeight="1">
      <c r="B92" s="6">
        <v>10.0</v>
      </c>
      <c r="C92" s="6" t="s">
        <v>185</v>
      </c>
      <c r="D92" s="6" t="s">
        <v>225</v>
      </c>
      <c r="I92" s="6"/>
      <c r="J92" s="6"/>
      <c r="K92" s="6"/>
      <c r="L92" s="6"/>
      <c r="N92" s="6"/>
      <c r="O92" s="6"/>
    </row>
    <row r="93" ht="12.75" customHeight="1">
      <c r="B93" s="6">
        <v>10.0</v>
      </c>
      <c r="C93" s="6" t="s">
        <v>185</v>
      </c>
      <c r="D93" s="6" t="s">
        <v>228</v>
      </c>
      <c r="I93" s="6"/>
      <c r="J93" s="6"/>
      <c r="K93" s="6"/>
      <c r="L93" s="6"/>
      <c r="N93" s="6"/>
      <c r="O93" s="6"/>
    </row>
    <row r="94" ht="12.75" customHeight="1">
      <c r="B94" s="6">
        <v>5.0</v>
      </c>
      <c r="C94" s="6" t="s">
        <v>185</v>
      </c>
      <c r="D94" s="6" t="s">
        <v>234</v>
      </c>
      <c r="I94" s="6"/>
      <c r="J94" s="6"/>
      <c r="K94" s="6"/>
      <c r="L94" s="6"/>
      <c r="N94" s="6"/>
      <c r="O94" s="6"/>
    </row>
    <row r="95" ht="12.75" customHeight="1">
      <c r="B95" s="6">
        <v>1.0</v>
      </c>
      <c r="C95" s="6" t="s">
        <v>185</v>
      </c>
      <c r="D95" s="6" t="s">
        <v>235</v>
      </c>
      <c r="I95" s="6"/>
      <c r="J95" s="6"/>
      <c r="K95" s="6"/>
      <c r="L95" s="6"/>
      <c r="N95" s="6"/>
      <c r="O95" s="6"/>
    </row>
    <row r="96" ht="12.75" customHeight="1">
      <c r="I96" s="6" t="s">
        <v>238</v>
      </c>
      <c r="J96" s="6"/>
      <c r="K96" s="6"/>
      <c r="L96" s="6"/>
      <c r="N96" s="6"/>
      <c r="O96" s="6"/>
    </row>
    <row r="97" ht="12.75" customHeight="1">
      <c r="A97" s="6"/>
      <c r="B97" s="6" t="s">
        <v>51</v>
      </c>
      <c r="I97" s="6" t="s">
        <v>240</v>
      </c>
      <c r="M97" s="6"/>
    </row>
    <row r="98" ht="12.75" customHeight="1">
      <c r="A98" s="6"/>
      <c r="B98" s="6" t="s">
        <v>138</v>
      </c>
      <c r="I98" s="6" t="s">
        <v>241</v>
      </c>
      <c r="J98" s="6"/>
      <c r="K98" s="6"/>
      <c r="L98" s="6"/>
      <c r="N98" s="6"/>
    </row>
    <row r="99" ht="12.75" customHeight="1">
      <c r="A99" s="6"/>
      <c r="B99" s="6" t="s">
        <v>51</v>
      </c>
    </row>
    <row r="100" ht="12.75" customHeight="1">
      <c r="A100" s="6"/>
      <c r="B100" s="6" t="s">
        <v>139</v>
      </c>
    </row>
    <row r="101" ht="12.75" customHeight="1">
      <c r="B101" s="6">
        <v>60.0</v>
      </c>
      <c r="C101" s="6" t="s">
        <v>185</v>
      </c>
      <c r="D101" s="6" t="s">
        <v>238</v>
      </c>
    </row>
    <row r="102" ht="12.75" customHeight="1">
      <c r="B102" s="6">
        <v>10.0</v>
      </c>
      <c r="C102" s="6" t="s">
        <v>185</v>
      </c>
      <c r="D102" s="6" t="s">
        <v>231</v>
      </c>
    </row>
    <row r="103" ht="12.75" customHeight="1">
      <c r="B103" s="6">
        <v>30.0</v>
      </c>
      <c r="C103" s="6" t="s">
        <v>185</v>
      </c>
      <c r="D103" s="6" t="s">
        <v>241</v>
      </c>
    </row>
    <row r="104" ht="12.75" customHeight="1"/>
    <row r="105" ht="12.75" customHeight="1">
      <c r="A105" s="6"/>
      <c r="B105" s="6" t="s">
        <v>51</v>
      </c>
    </row>
    <row r="106" ht="12.75" customHeight="1">
      <c r="A106" s="6"/>
      <c r="B106" s="6" t="s">
        <v>142</v>
      </c>
    </row>
    <row r="107" ht="12.75" customHeight="1">
      <c r="A107" s="6"/>
      <c r="B107" s="6" t="s">
        <v>51</v>
      </c>
    </row>
    <row r="108" ht="12.75" customHeight="1">
      <c r="A108" s="6"/>
      <c r="B108" s="6" t="s">
        <v>143</v>
      </c>
    </row>
    <row r="109" ht="12.75" customHeight="1">
      <c r="B109" s="6">
        <v>20.0</v>
      </c>
      <c r="C109" s="6" t="s">
        <v>185</v>
      </c>
      <c r="D109" s="6" t="s">
        <v>175</v>
      </c>
    </row>
    <row r="110" ht="12.75" customHeight="1">
      <c r="B110" s="6">
        <v>20.0</v>
      </c>
      <c r="C110" s="6" t="s">
        <v>185</v>
      </c>
      <c r="D110" s="6" t="s">
        <v>197</v>
      </c>
    </row>
    <row r="111" ht="12.75" customHeight="1">
      <c r="B111" s="6">
        <v>10.0</v>
      </c>
      <c r="C111" s="6" t="s">
        <v>185</v>
      </c>
      <c r="D111" s="6" t="s">
        <v>206</v>
      </c>
    </row>
    <row r="112" ht="12.75" customHeight="1">
      <c r="B112" s="6">
        <v>10.0</v>
      </c>
      <c r="C112" s="6" t="s">
        <v>185</v>
      </c>
      <c r="D112" s="6" t="s">
        <v>207</v>
      </c>
    </row>
    <row r="113" ht="12.75" customHeight="1">
      <c r="B113" s="6">
        <v>15.0</v>
      </c>
      <c r="C113" s="6" t="s">
        <v>185</v>
      </c>
      <c r="D113" s="6" t="s">
        <v>211</v>
      </c>
    </row>
    <row r="114" ht="12.75" customHeight="1">
      <c r="B114" s="6">
        <v>15.0</v>
      </c>
      <c r="C114" s="6" t="s">
        <v>185</v>
      </c>
      <c r="D114" s="6" t="s">
        <v>212</v>
      </c>
    </row>
    <row r="115" ht="12.75" customHeight="1">
      <c r="B115" s="6">
        <v>10.0</v>
      </c>
      <c r="C115" s="6" t="s">
        <v>185</v>
      </c>
      <c r="D115" s="6" t="s">
        <v>216</v>
      </c>
    </row>
    <row r="116" ht="12.75" customHeight="1">
      <c r="B116" s="6">
        <v>10.0</v>
      </c>
      <c r="C116" s="6" t="s">
        <v>185</v>
      </c>
      <c r="D116" s="6" t="s">
        <v>217</v>
      </c>
    </row>
    <row r="117" ht="12.75" customHeight="1">
      <c r="B117" s="6">
        <v>10.0</v>
      </c>
      <c r="C117" s="6" t="s">
        <v>185</v>
      </c>
      <c r="D117" s="6" t="s">
        <v>224</v>
      </c>
    </row>
    <row r="118" ht="12.75" customHeight="1">
      <c r="B118" s="6">
        <v>10.0</v>
      </c>
      <c r="C118" s="6" t="s">
        <v>185</v>
      </c>
      <c r="D118" s="6" t="s">
        <v>225</v>
      </c>
    </row>
    <row r="119" ht="12.75" customHeight="1">
      <c r="B119" s="6">
        <v>10.0</v>
      </c>
      <c r="C119" s="6" t="s">
        <v>185</v>
      </c>
      <c r="D119" s="6" t="s">
        <v>229</v>
      </c>
    </row>
    <row r="120" ht="12.75" customHeight="1">
      <c r="B120" s="6">
        <v>10.0</v>
      </c>
      <c r="C120" s="6" t="s">
        <v>185</v>
      </c>
      <c r="D120" s="6" t="s">
        <v>231</v>
      </c>
    </row>
    <row r="121" ht="12.75" customHeight="1">
      <c r="B121" s="6">
        <v>10.0</v>
      </c>
      <c r="C121" s="6" t="s">
        <v>185</v>
      </c>
      <c r="D121" s="6" t="s">
        <v>232</v>
      </c>
    </row>
    <row r="122" ht="12.75" customHeight="1">
      <c r="B122" s="6">
        <v>10.0</v>
      </c>
      <c r="C122" s="6" t="s">
        <v>185</v>
      </c>
      <c r="D122" s="6" t="s">
        <v>238</v>
      </c>
    </row>
    <row r="123" ht="12.75" customHeight="1">
      <c r="B123" s="6">
        <v>20.0</v>
      </c>
      <c r="C123" s="6" t="s">
        <v>185</v>
      </c>
      <c r="D123" s="6" t="s">
        <v>241</v>
      </c>
    </row>
    <row r="124" ht="12.75" customHeight="1"/>
    <row r="125" ht="12.75" customHeight="1">
      <c r="A125" s="6"/>
      <c r="B125" s="6" t="s">
        <v>51</v>
      </c>
    </row>
    <row r="126" ht="12.75" customHeight="1">
      <c r="A126" s="6"/>
      <c r="B126" s="6" t="s">
        <v>1024</v>
      </c>
    </row>
    <row r="127" ht="12.75" customHeight="1">
      <c r="A127" s="6"/>
      <c r="B127" s="6" t="s">
        <v>51</v>
      </c>
    </row>
    <row r="128" ht="12.75" customHeight="1">
      <c r="A128" s="6"/>
      <c r="B128" s="6" t="s">
        <v>1025</v>
      </c>
    </row>
    <row r="129" ht="12.75" customHeight="1">
      <c r="B129" s="6">
        <v>10.0</v>
      </c>
      <c r="C129" s="6" t="s">
        <v>185</v>
      </c>
      <c r="D129" s="6" t="s">
        <v>177</v>
      </c>
    </row>
    <row r="130" ht="12.75" customHeight="1">
      <c r="B130" s="6">
        <v>10.0</v>
      </c>
      <c r="C130" s="6" t="s">
        <v>185</v>
      </c>
      <c r="D130" s="6" t="s">
        <v>180</v>
      </c>
    </row>
    <row r="131" ht="12.75" customHeight="1">
      <c r="B131" s="6">
        <v>10.0</v>
      </c>
      <c r="C131" s="6" t="s">
        <v>185</v>
      </c>
      <c r="D131" s="6" t="s">
        <v>192</v>
      </c>
    </row>
    <row r="132" ht="12.75" customHeight="1">
      <c r="B132" s="6">
        <v>10.0</v>
      </c>
      <c r="C132" s="6" t="s">
        <v>185</v>
      </c>
      <c r="D132" s="6" t="s">
        <v>196</v>
      </c>
    </row>
    <row r="133" ht="12.75" customHeight="1">
      <c r="B133" s="6">
        <v>5.0</v>
      </c>
      <c r="C133" s="6" t="s">
        <v>185</v>
      </c>
      <c r="D133" s="6" t="s">
        <v>201</v>
      </c>
    </row>
    <row r="134" ht="12.75" customHeight="1">
      <c r="B134" s="6">
        <v>5.0</v>
      </c>
      <c r="C134" s="6" t="s">
        <v>185</v>
      </c>
      <c r="D134" s="6" t="s">
        <v>203</v>
      </c>
    </row>
    <row r="135" ht="12.75" customHeight="1">
      <c r="B135" s="6">
        <v>5.0</v>
      </c>
      <c r="C135" s="6" t="s">
        <v>185</v>
      </c>
      <c r="D135" s="6" t="s">
        <v>208</v>
      </c>
    </row>
    <row r="136" ht="12.75" customHeight="1">
      <c r="B136" s="6">
        <v>5.0</v>
      </c>
      <c r="C136" s="6" t="s">
        <v>185</v>
      </c>
      <c r="D136" s="6" t="s">
        <v>210</v>
      </c>
    </row>
    <row r="137" ht="12.75" customHeight="1">
      <c r="B137" s="6">
        <v>10.0</v>
      </c>
      <c r="C137" s="6" t="s">
        <v>185</v>
      </c>
      <c r="D137" s="6" t="s">
        <v>213</v>
      </c>
    </row>
    <row r="138" ht="12.75" customHeight="1">
      <c r="B138" s="6">
        <v>10.0</v>
      </c>
      <c r="C138" s="6" t="s">
        <v>185</v>
      </c>
      <c r="D138" s="6" t="s">
        <v>215</v>
      </c>
    </row>
    <row r="139" ht="12.75" customHeight="1">
      <c r="B139" s="6">
        <v>5.0</v>
      </c>
      <c r="C139" s="6" t="s">
        <v>185</v>
      </c>
      <c r="D139" s="6" t="s">
        <v>221</v>
      </c>
    </row>
    <row r="140" ht="12.75" customHeight="1">
      <c r="B140" s="6">
        <v>5.0</v>
      </c>
      <c r="C140" s="6" t="s">
        <v>185</v>
      </c>
      <c r="D140" s="6" t="s">
        <v>222</v>
      </c>
    </row>
    <row r="141" ht="12.75" customHeight="1">
      <c r="B141" s="6">
        <v>5.0</v>
      </c>
      <c r="C141" s="6" t="s">
        <v>185</v>
      </c>
      <c r="D141" s="6" t="s">
        <v>225</v>
      </c>
    </row>
    <row r="142" ht="12.75" customHeight="1">
      <c r="B142" s="6">
        <v>5.0</v>
      </c>
      <c r="C142" s="6" t="s">
        <v>185</v>
      </c>
      <c r="D142" s="6" t="s">
        <v>227</v>
      </c>
    </row>
    <row r="143" ht="12.75" customHeight="1">
      <c r="B143" s="6">
        <v>5.0</v>
      </c>
      <c r="C143" s="6" t="s">
        <v>185</v>
      </c>
      <c r="D143" s="6" t="s">
        <v>228</v>
      </c>
    </row>
    <row r="144" ht="12.75" customHeight="1">
      <c r="B144" s="6">
        <v>5.0</v>
      </c>
      <c r="C144" s="6" t="s">
        <v>185</v>
      </c>
      <c r="D144" s="6" t="s">
        <v>234</v>
      </c>
    </row>
    <row r="145" ht="12.75" customHeight="1">
      <c r="B145" s="6">
        <v>5.0</v>
      </c>
      <c r="C145" s="6" t="s">
        <v>185</v>
      </c>
      <c r="D145" s="6" t="s">
        <v>235</v>
      </c>
    </row>
    <row r="146" ht="12.75" customHeight="1">
      <c r="B146" s="6">
        <v>5.0</v>
      </c>
      <c r="C146" s="6" t="s">
        <v>185</v>
      </c>
      <c r="D146" s="6" t="s">
        <v>237</v>
      </c>
    </row>
    <row r="147" ht="12.75" customHeight="1">
      <c r="B147" s="6">
        <v>5.0</v>
      </c>
      <c r="C147" s="6" t="s">
        <v>185</v>
      </c>
      <c r="D147" s="6" t="s">
        <v>238</v>
      </c>
    </row>
    <row r="148" ht="12.75" customHeight="1"/>
    <row r="149" ht="12.75" customHeight="1">
      <c r="A149" s="6"/>
      <c r="B149" s="6" t="s">
        <v>1030</v>
      </c>
    </row>
    <row r="150" ht="12.75" customHeight="1">
      <c r="B150" s="6">
        <v>20.0</v>
      </c>
      <c r="C150" s="6" t="s">
        <v>185</v>
      </c>
      <c r="D150" s="6" t="s">
        <v>197</v>
      </c>
    </row>
    <row r="151" ht="12.75" customHeight="1">
      <c r="B151" s="6">
        <v>10.0</v>
      </c>
      <c r="C151" s="6" t="s">
        <v>185</v>
      </c>
      <c r="D151" s="6" t="s">
        <v>175</v>
      </c>
    </row>
    <row r="152" ht="12.75" customHeight="1">
      <c r="B152" s="6">
        <v>10.0</v>
      </c>
      <c r="C152" s="6" t="s">
        <v>185</v>
      </c>
      <c r="D152" s="6" t="s">
        <v>207</v>
      </c>
    </row>
    <row r="153" ht="12.75" customHeight="1">
      <c r="B153" s="6">
        <v>15.0</v>
      </c>
      <c r="C153" s="6" t="s">
        <v>185</v>
      </c>
      <c r="D153" s="6" t="s">
        <v>212</v>
      </c>
    </row>
    <row r="154" ht="12.75" customHeight="1">
      <c r="B154" s="6">
        <v>15.0</v>
      </c>
      <c r="C154" s="6" t="s">
        <v>185</v>
      </c>
      <c r="D154" s="6" t="s">
        <v>217</v>
      </c>
    </row>
    <row r="155" ht="12.75" customHeight="1">
      <c r="B155" s="6">
        <v>5.0</v>
      </c>
      <c r="C155" s="6" t="s">
        <v>185</v>
      </c>
      <c r="D155" s="6" t="s">
        <v>210</v>
      </c>
    </row>
    <row r="156" ht="12.75" customHeight="1">
      <c r="B156" s="6">
        <v>10.0</v>
      </c>
      <c r="C156" s="6" t="s">
        <v>185</v>
      </c>
      <c r="D156" s="6" t="s">
        <v>215</v>
      </c>
    </row>
    <row r="157" ht="12.75" customHeight="1">
      <c r="B157" s="6">
        <v>5.0</v>
      </c>
      <c r="C157" s="6" t="s">
        <v>185</v>
      </c>
      <c r="D157" s="6" t="s">
        <v>221</v>
      </c>
    </row>
    <row r="158" ht="12.75" customHeight="1">
      <c r="B158" s="6">
        <v>5.0</v>
      </c>
      <c r="C158" s="6" t="s">
        <v>185</v>
      </c>
      <c r="D158" s="6" t="s">
        <v>222</v>
      </c>
    </row>
    <row r="159" ht="12.75" customHeight="1">
      <c r="B159" s="6">
        <v>5.0</v>
      </c>
      <c r="C159" s="6" t="s">
        <v>185</v>
      </c>
      <c r="D159" s="6" t="s">
        <v>225</v>
      </c>
    </row>
    <row r="160" ht="12.75" customHeight="1">
      <c r="B160" s="6">
        <v>5.0</v>
      </c>
      <c r="C160" s="6" t="s">
        <v>185</v>
      </c>
      <c r="D160" s="6" t="s">
        <v>238</v>
      </c>
    </row>
    <row r="161" ht="12.75" customHeight="1">
      <c r="B161" s="6">
        <v>20.0</v>
      </c>
      <c r="C161" s="6" t="s">
        <v>185</v>
      </c>
      <c r="D161" s="6" t="s">
        <v>241</v>
      </c>
    </row>
    <row r="162" ht="12.75" customHeight="1"/>
    <row r="163" ht="12.75" customHeight="1">
      <c r="A163" s="6"/>
      <c r="B163" s="6" t="s">
        <v>179</v>
      </c>
      <c r="C163" s="6" t="s">
        <v>1035</v>
      </c>
    </row>
    <row r="164" ht="12.75" customHeight="1">
      <c r="A164" s="6"/>
      <c r="B164" s="6">
        <v>10.0</v>
      </c>
      <c r="C164" s="6" t="s">
        <v>185</v>
      </c>
      <c r="D164" s="6" t="s">
        <v>177</v>
      </c>
    </row>
    <row r="165" ht="12.75" customHeight="1">
      <c r="A165" s="6"/>
      <c r="B165" s="6">
        <v>5.0</v>
      </c>
      <c r="C165" s="6" t="s">
        <v>185</v>
      </c>
      <c r="D165" s="6" t="s">
        <v>180</v>
      </c>
    </row>
    <row r="166" ht="12.75" customHeight="1">
      <c r="A166" s="6"/>
      <c r="B166" s="6">
        <v>10.0</v>
      </c>
      <c r="C166" s="6" t="s">
        <v>185</v>
      </c>
      <c r="D166" s="6" t="s">
        <v>190</v>
      </c>
    </row>
    <row r="167" ht="12.75" customHeight="1">
      <c r="A167" s="6"/>
      <c r="B167" s="6">
        <v>10.0</v>
      </c>
      <c r="C167" s="6" t="s">
        <v>185</v>
      </c>
      <c r="D167" s="6" t="s">
        <v>192</v>
      </c>
    </row>
    <row r="168" ht="12.75" customHeight="1">
      <c r="A168" s="6"/>
      <c r="B168" s="6">
        <v>10.0</v>
      </c>
      <c r="C168" s="6" t="s">
        <v>185</v>
      </c>
      <c r="D168" s="6" t="s">
        <v>196</v>
      </c>
    </row>
    <row r="169" ht="12.75" customHeight="1">
      <c r="A169" s="6"/>
      <c r="B169" s="6">
        <v>10.0</v>
      </c>
      <c r="C169" s="6" t="s">
        <v>185</v>
      </c>
      <c r="D169" s="6" t="s">
        <v>204</v>
      </c>
    </row>
    <row r="170" ht="12.75" customHeight="1">
      <c r="A170" s="6"/>
      <c r="B170" s="6">
        <v>10.0</v>
      </c>
      <c r="C170" s="6" t="s">
        <v>185</v>
      </c>
      <c r="D170" s="6" t="s">
        <v>209</v>
      </c>
    </row>
    <row r="171" ht="12.75" customHeight="1">
      <c r="A171" s="6"/>
      <c r="B171" s="6">
        <v>15.0</v>
      </c>
      <c r="C171" s="6" t="s">
        <v>185</v>
      </c>
      <c r="D171" s="6" t="s">
        <v>214</v>
      </c>
    </row>
    <row r="172" ht="12.75" customHeight="1">
      <c r="A172" s="6"/>
      <c r="B172" s="6">
        <v>15.0</v>
      </c>
      <c r="C172" s="6" t="s">
        <v>185</v>
      </c>
      <c r="D172" s="6" t="s">
        <v>219</v>
      </c>
    </row>
    <row r="173" ht="12.75" customHeight="1">
      <c r="A173" s="6"/>
      <c r="B173" s="6">
        <v>10.0</v>
      </c>
      <c r="C173" s="6" t="s">
        <v>185</v>
      </c>
      <c r="D173" s="6" t="s">
        <v>221</v>
      </c>
    </row>
    <row r="174" ht="12.75" customHeight="1">
      <c r="A174" s="6"/>
      <c r="B174" s="6">
        <v>10.0</v>
      </c>
      <c r="C174" s="6" t="s">
        <v>185</v>
      </c>
      <c r="D174" s="6" t="s">
        <v>224</v>
      </c>
    </row>
    <row r="175" ht="12.75" customHeight="1">
      <c r="A175" s="6"/>
      <c r="B175" s="6">
        <v>10.0</v>
      </c>
      <c r="C175" s="6" t="s">
        <v>185</v>
      </c>
      <c r="D175" s="6" t="s">
        <v>225</v>
      </c>
    </row>
    <row r="176" ht="12.75" customHeight="1">
      <c r="A176" s="6"/>
      <c r="B176" s="6">
        <v>10.0</v>
      </c>
      <c r="C176" s="6" t="s">
        <v>185</v>
      </c>
      <c r="D176" s="6" t="s">
        <v>228</v>
      </c>
    </row>
    <row r="177" ht="12.75" customHeight="1">
      <c r="A177" s="6"/>
      <c r="B177" s="6">
        <v>5.0</v>
      </c>
      <c r="C177" s="6" t="s">
        <v>185</v>
      </c>
      <c r="D177" s="6" t="s">
        <v>234</v>
      </c>
    </row>
    <row r="178" ht="12.75" customHeight="1">
      <c r="A178" s="6"/>
      <c r="B178" s="6">
        <v>1.0</v>
      </c>
      <c r="C178" s="6" t="s">
        <v>185</v>
      </c>
      <c r="D178" s="6" t="s">
        <v>235</v>
      </c>
    </row>
    <row r="179" ht="12.75" customHeight="1">
      <c r="A179" s="6"/>
      <c r="B179" s="6"/>
    </row>
    <row r="180" ht="12.75" customHeight="1">
      <c r="A180" s="6"/>
      <c r="B180" s="6"/>
    </row>
    <row r="181" ht="12.75" customHeight="1">
      <c r="A181" s="6"/>
      <c r="B181" s="6"/>
    </row>
    <row r="182" ht="12.75" customHeight="1">
      <c r="A182" s="6"/>
      <c r="B182" s="6"/>
    </row>
    <row r="183" ht="12.75" customHeight="1">
      <c r="A183" s="6"/>
      <c r="B183" s="6"/>
    </row>
    <row r="184" ht="12.75" customHeight="1">
      <c r="A184" s="6"/>
      <c r="B184" s="6"/>
    </row>
    <row r="185" ht="12.75" customHeight="1">
      <c r="A185" s="6"/>
      <c r="B185" s="6"/>
    </row>
    <row r="186" ht="12.75" customHeight="1">
      <c r="A186" s="6"/>
      <c r="B186" s="6"/>
    </row>
    <row r="187" ht="12.75" customHeight="1">
      <c r="A187" s="6"/>
      <c r="B187" s="6"/>
    </row>
    <row r="188" ht="12.75" customHeight="1">
      <c r="A188" s="6"/>
      <c r="B188" s="6"/>
    </row>
    <row r="189" ht="12.75" customHeight="1">
      <c r="A189" s="6"/>
      <c r="B189" s="6"/>
    </row>
    <row r="190" ht="12.75" customHeight="1">
      <c r="A190" s="6"/>
      <c r="B190" s="6"/>
    </row>
    <row r="191" ht="12.75" customHeight="1">
      <c r="A191" s="6"/>
      <c r="B191" s="6"/>
    </row>
    <row r="192" ht="12.75" customHeight="1">
      <c r="A192" s="6"/>
      <c r="B192" s="6"/>
    </row>
    <row r="193" ht="12.75" customHeight="1">
      <c r="A193" s="6"/>
      <c r="B193" s="6"/>
    </row>
    <row r="194" ht="12.75" customHeight="1">
      <c r="A194" s="6"/>
      <c r="B194" s="6"/>
    </row>
    <row r="195" ht="12.75" customHeight="1">
      <c r="A195" s="6"/>
      <c r="B195" s="6"/>
    </row>
    <row r="196" ht="12.75" customHeight="1">
      <c r="A196" s="6"/>
      <c r="B196" s="6"/>
    </row>
    <row r="197" ht="12.75" customHeight="1">
      <c r="A197" s="6"/>
      <c r="B197" s="6"/>
    </row>
    <row r="198" ht="12.75" customHeight="1">
      <c r="A198" s="6"/>
      <c r="B198" s="6"/>
    </row>
    <row r="199" ht="12.75" customHeight="1">
      <c r="A199" s="6"/>
      <c r="B199" s="6"/>
    </row>
    <row r="200" ht="12.75" customHeight="1">
      <c r="A200" s="6"/>
      <c r="B200" s="6"/>
    </row>
    <row r="201" ht="12.75" customHeight="1">
      <c r="A201" s="6"/>
      <c r="B201" s="6"/>
    </row>
    <row r="202" ht="12.75" customHeight="1">
      <c r="A202" s="6"/>
      <c r="B202" s="6"/>
    </row>
    <row r="203" ht="12.75" customHeight="1">
      <c r="A203" s="6"/>
      <c r="B203" s="6"/>
    </row>
    <row r="204" ht="12.75" customHeight="1">
      <c r="A204" s="6"/>
      <c r="B204" s="6"/>
    </row>
    <row r="205" ht="12.75" customHeight="1">
      <c r="A205" s="6"/>
      <c r="B205" s="6"/>
    </row>
    <row r="206" ht="12.75" customHeight="1">
      <c r="A206" s="6"/>
      <c r="B206" s="6"/>
    </row>
    <row r="207" ht="12.75" customHeight="1">
      <c r="A207" s="6"/>
      <c r="B207" s="6"/>
    </row>
    <row r="208" ht="12.75" customHeight="1">
      <c r="A208" s="6"/>
      <c r="B208" s="6"/>
    </row>
    <row r="209" ht="12.75" customHeight="1">
      <c r="A209" s="6"/>
      <c r="B209" s="6"/>
    </row>
    <row r="210" ht="12.75" customHeight="1">
      <c r="A210" s="6"/>
      <c r="B210" s="6"/>
    </row>
    <row r="211" ht="12.75" customHeight="1">
      <c r="A211" s="6"/>
      <c r="B211" s="6"/>
    </row>
    <row r="212" ht="12.75" customHeight="1">
      <c r="A212" s="6"/>
      <c r="B212" s="6"/>
    </row>
    <row r="213" ht="12.75" customHeight="1">
      <c r="A213" s="6"/>
      <c r="B213" s="6"/>
    </row>
    <row r="214" ht="12.75" customHeight="1">
      <c r="A214" s="6"/>
      <c r="B214" s="6"/>
    </row>
    <row r="215" ht="12.75" customHeight="1">
      <c r="A215" s="6"/>
      <c r="B215" s="6"/>
    </row>
    <row r="216" ht="12.75" customHeight="1">
      <c r="A216" s="6"/>
      <c r="B216" s="6"/>
    </row>
    <row r="217" ht="12.75" customHeight="1">
      <c r="A217" s="6"/>
      <c r="B217" s="6"/>
    </row>
    <row r="218" ht="12.75" customHeight="1">
      <c r="A218" s="6"/>
      <c r="B218" s="6"/>
    </row>
    <row r="219" ht="12.75" customHeight="1">
      <c r="A219" s="6"/>
      <c r="B219" s="6"/>
    </row>
    <row r="220" ht="12.75" customHeight="1">
      <c r="A220" s="6"/>
      <c r="B220" s="6"/>
    </row>
    <row r="221" ht="12.75" customHeight="1">
      <c r="A221" s="6"/>
      <c r="B221" s="6"/>
    </row>
    <row r="222" ht="12.75" customHeight="1">
      <c r="A222" s="6"/>
      <c r="B222" s="6"/>
    </row>
    <row r="223" ht="12.75" customHeight="1">
      <c r="A223" s="6"/>
      <c r="B223" s="6"/>
    </row>
    <row r="224" ht="12.75" customHeight="1">
      <c r="A224" s="6"/>
      <c r="B224" s="6"/>
    </row>
    <row r="225" ht="12.75" customHeight="1">
      <c r="A225" s="6"/>
      <c r="B225" s="6"/>
    </row>
    <row r="226" ht="12.75" customHeight="1">
      <c r="A226" s="6"/>
      <c r="B226" s="6"/>
    </row>
    <row r="227" ht="12.75" customHeight="1">
      <c r="A227" s="6"/>
      <c r="B227" s="6"/>
    </row>
    <row r="228" ht="12.75" customHeight="1">
      <c r="A228" s="6"/>
      <c r="B228" s="6"/>
    </row>
    <row r="229" ht="12.75" customHeight="1">
      <c r="A229" s="6"/>
      <c r="B229" s="6"/>
    </row>
    <row r="230" ht="12.75" customHeight="1">
      <c r="A230" s="6"/>
      <c r="B230" s="6"/>
    </row>
    <row r="231" ht="12.75" customHeight="1">
      <c r="A231" s="6"/>
      <c r="B231" s="6"/>
    </row>
    <row r="232" ht="12.75" customHeight="1">
      <c r="A232" s="6"/>
      <c r="B232" s="6"/>
    </row>
    <row r="233" ht="12.75" customHeight="1">
      <c r="A233" s="6"/>
      <c r="B233" s="6"/>
    </row>
    <row r="234" ht="12.75" customHeight="1">
      <c r="A234" s="6"/>
      <c r="B234" s="6"/>
    </row>
    <row r="235" ht="12.75" customHeight="1">
      <c r="A235" s="6"/>
      <c r="B235" s="6"/>
    </row>
    <row r="236" ht="12.75" customHeight="1">
      <c r="A236" s="6"/>
      <c r="B236" s="6"/>
    </row>
    <row r="237" ht="12.75" customHeight="1">
      <c r="A237" s="6"/>
      <c r="B237" s="6"/>
    </row>
    <row r="238" ht="12.75" customHeight="1">
      <c r="A238" s="6"/>
      <c r="B238" s="6"/>
    </row>
    <row r="239" ht="12.75" customHeight="1">
      <c r="A239" s="6"/>
      <c r="B239" s="6"/>
    </row>
    <row r="240" ht="12.75" customHeight="1">
      <c r="A240" s="6"/>
      <c r="B240" s="6"/>
    </row>
    <row r="241" ht="12.75" customHeight="1">
      <c r="A241" s="6"/>
      <c r="B241" s="6"/>
    </row>
    <row r="242" ht="12.75" customHeight="1">
      <c r="A242" s="6"/>
      <c r="B242" s="6"/>
    </row>
    <row r="243" ht="12.75" customHeight="1">
      <c r="A243" s="6"/>
      <c r="B243" s="6"/>
    </row>
    <row r="244" ht="12.75" customHeight="1">
      <c r="A244" s="6"/>
      <c r="B244" s="6"/>
    </row>
    <row r="245" ht="12.75" customHeight="1">
      <c r="A245" s="6"/>
      <c r="B245" s="6"/>
    </row>
    <row r="246" ht="12.75" customHeight="1">
      <c r="A246" s="6"/>
      <c r="B246" s="6"/>
    </row>
    <row r="247" ht="12.75" customHeight="1">
      <c r="A247" s="6"/>
      <c r="B247" s="6"/>
    </row>
    <row r="248" ht="12.75" customHeight="1">
      <c r="A248" s="6"/>
      <c r="B248" s="6"/>
    </row>
    <row r="249" ht="12.75" customHeight="1">
      <c r="A249" s="6"/>
      <c r="B249" s="6"/>
    </row>
    <row r="250" ht="12.75" customHeight="1">
      <c r="A250" s="6"/>
      <c r="B250" s="6"/>
    </row>
    <row r="251" ht="12.75" customHeight="1">
      <c r="A251" s="6"/>
      <c r="B251" s="6"/>
    </row>
    <row r="252" ht="12.75" customHeight="1">
      <c r="A252" s="6"/>
      <c r="B252" s="6"/>
    </row>
    <row r="253" ht="12.75" customHeight="1">
      <c r="A253" s="6"/>
      <c r="B253" s="6"/>
    </row>
    <row r="254" ht="12.75" customHeight="1">
      <c r="A254" s="6"/>
      <c r="B254" s="6"/>
    </row>
    <row r="255" ht="12.75" customHeight="1">
      <c r="A255" s="6"/>
      <c r="B255" s="6"/>
    </row>
    <row r="256" ht="12.75" customHeight="1">
      <c r="A256" s="6"/>
      <c r="B256" s="6"/>
    </row>
    <row r="257" ht="12.75" customHeight="1">
      <c r="A257" s="6"/>
      <c r="B257" s="6"/>
    </row>
    <row r="258" ht="12.75" customHeight="1">
      <c r="A258" s="6"/>
      <c r="B258" s="6"/>
    </row>
    <row r="259" ht="12.75" customHeight="1">
      <c r="A259" s="6"/>
      <c r="B259" s="6"/>
    </row>
    <row r="260" ht="12.75" customHeight="1">
      <c r="A260" s="6"/>
      <c r="B260" s="6"/>
    </row>
    <row r="261" ht="12.75" customHeight="1">
      <c r="A261" s="6"/>
      <c r="B261" s="6"/>
    </row>
    <row r="262" ht="12.75" customHeight="1">
      <c r="A262" s="6"/>
      <c r="B262" s="6"/>
    </row>
    <row r="263" ht="12.75" customHeight="1">
      <c r="A263" s="6"/>
      <c r="B263" s="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sheetData>
    <row r="1">
      <c r="A1" s="6" t="s">
        <v>1056</v>
      </c>
    </row>
    <row r="3">
      <c r="A3" s="6" t="s">
        <v>1057</v>
      </c>
    </row>
    <row r="4">
      <c r="A4" s="6" t="s">
        <v>1058</v>
      </c>
    </row>
    <row r="5">
      <c r="B5" s="6" t="s">
        <v>1060</v>
      </c>
    </row>
    <row r="6">
      <c r="B6" s="6" t="s">
        <v>1062</v>
      </c>
    </row>
    <row r="8">
      <c r="B8" s="6" t="s">
        <v>1063</v>
      </c>
    </row>
    <row r="9">
      <c r="B9" s="6" t="s">
        <v>1064</v>
      </c>
    </row>
    <row r="10">
      <c r="B10" s="6" t="s">
        <v>1065</v>
      </c>
    </row>
    <row r="11">
      <c r="B11" s="6" t="s">
        <v>1066</v>
      </c>
    </row>
    <row r="12">
      <c r="B12" s="6" t="s">
        <v>1067</v>
      </c>
    </row>
    <row r="13">
      <c r="B13" s="6" t="s">
        <v>1070</v>
      </c>
    </row>
    <row r="14">
      <c r="B14" s="6" t="s">
        <v>1071</v>
      </c>
    </row>
    <row r="15">
      <c r="B15" s="6" t="s">
        <v>1067</v>
      </c>
    </row>
    <row r="16">
      <c r="B16" s="6" t="s">
        <v>1072</v>
      </c>
    </row>
    <row r="17">
      <c r="B17" s="6" t="s">
        <v>1073</v>
      </c>
    </row>
    <row r="18">
      <c r="B18" s="6" t="s">
        <v>1063</v>
      </c>
    </row>
    <row r="19">
      <c r="B19" s="6" t="s">
        <v>1074</v>
      </c>
    </row>
    <row r="20">
      <c r="B20" s="6" t="s">
        <v>1075</v>
      </c>
    </row>
    <row r="21">
      <c r="B21" s="6" t="s">
        <v>1076</v>
      </c>
    </row>
    <row r="22">
      <c r="B22" s="6" t="s">
        <v>1077</v>
      </c>
    </row>
    <row r="23">
      <c r="B23" s="6" t="s">
        <v>1078</v>
      </c>
    </row>
    <row r="24">
      <c r="B24" s="6" t="s">
        <v>1081</v>
      </c>
    </row>
    <row r="25">
      <c r="B25" s="6" t="s">
        <v>1082</v>
      </c>
    </row>
    <row r="26">
      <c r="B26" s="6" t="s">
        <v>1067</v>
      </c>
    </row>
    <row r="27">
      <c r="B27" s="6" t="s">
        <v>1083</v>
      </c>
    </row>
    <row r="28">
      <c r="B28" s="6" t="s">
        <v>1084</v>
      </c>
    </row>
    <row r="29">
      <c r="B29" s="6" t="s">
        <v>1078</v>
      </c>
    </row>
    <row r="30">
      <c r="B30" s="6" t="s">
        <v>1086</v>
      </c>
    </row>
    <row r="31">
      <c r="B31" s="6" t="s">
        <v>1077</v>
      </c>
    </row>
    <row r="32">
      <c r="B32" s="6" t="s">
        <v>1088</v>
      </c>
    </row>
    <row r="33">
      <c r="B33" s="6" t="s">
        <v>1089</v>
      </c>
    </row>
    <row r="34">
      <c r="B34" s="6" t="s">
        <v>1090</v>
      </c>
    </row>
    <row r="35">
      <c r="B35" s="6" t="s">
        <v>1091</v>
      </c>
    </row>
    <row r="36">
      <c r="B36" s="6" t="s">
        <v>1092</v>
      </c>
    </row>
    <row r="37">
      <c r="B37" s="6" t="s">
        <v>1093</v>
      </c>
    </row>
    <row r="38">
      <c r="B38" s="6" t="s">
        <v>1094</v>
      </c>
    </row>
    <row r="39">
      <c r="B39" s="6" t="s">
        <v>1088</v>
      </c>
    </row>
    <row r="40">
      <c r="B40" s="6" t="s">
        <v>1096</v>
      </c>
    </row>
    <row r="41">
      <c r="B41" s="6" t="s">
        <v>1098</v>
      </c>
    </row>
    <row r="42">
      <c r="B42" s="6" t="s">
        <v>1092</v>
      </c>
    </row>
    <row r="43">
      <c r="B43" s="6" t="s">
        <v>1099</v>
      </c>
    </row>
    <row r="44">
      <c r="B44" s="6" t="s">
        <v>1100</v>
      </c>
    </row>
    <row r="45">
      <c r="B45" s="6" t="s">
        <v>1101</v>
      </c>
    </row>
    <row r="46">
      <c r="B46" s="6" t="s">
        <v>1092</v>
      </c>
    </row>
    <row r="47">
      <c r="B47" s="6" t="s">
        <v>1102</v>
      </c>
    </row>
    <row r="48">
      <c r="B48" s="6" t="s">
        <v>1103</v>
      </c>
    </row>
    <row r="49">
      <c r="B49" s="6" t="s">
        <v>1104</v>
      </c>
    </row>
    <row r="50">
      <c r="B50" s="6" t="s">
        <v>1090</v>
      </c>
    </row>
    <row r="51">
      <c r="B51" s="6" t="s">
        <v>1107</v>
      </c>
    </row>
    <row r="52">
      <c r="B52" s="6" t="s">
        <v>1092</v>
      </c>
    </row>
    <row r="53">
      <c r="B53" s="6" t="s">
        <v>1108</v>
      </c>
    </row>
    <row r="54">
      <c r="B54" s="6" t="s">
        <v>1109</v>
      </c>
    </row>
    <row r="55">
      <c r="B55" s="6" t="s">
        <v>1104</v>
      </c>
    </row>
    <row r="56">
      <c r="B56" s="6" t="s">
        <v>1075</v>
      </c>
    </row>
    <row r="57">
      <c r="B57" s="6" t="s">
        <v>1072</v>
      </c>
    </row>
    <row r="58">
      <c r="B58" s="6" t="s">
        <v>1067</v>
      </c>
    </row>
    <row r="59">
      <c r="B59" s="6" t="s">
        <v>1110</v>
      </c>
    </row>
    <row r="60">
      <c r="B60" s="6" t="s">
        <v>1112</v>
      </c>
    </row>
    <row r="61">
      <c r="B61" s="6" t="s">
        <v>1114</v>
      </c>
    </row>
    <row r="62">
      <c r="B62" s="6" t="s">
        <v>1115</v>
      </c>
    </row>
    <row r="63">
      <c r="B63" s="6" t="s">
        <v>1116</v>
      </c>
    </row>
    <row r="64">
      <c r="B64" s="6" t="s">
        <v>1117</v>
      </c>
    </row>
    <row r="65">
      <c r="B65" s="6" t="s">
        <v>1074</v>
      </c>
    </row>
    <row r="66">
      <c r="B66" s="6" t="s">
        <v>1118</v>
      </c>
    </row>
    <row r="67">
      <c r="B67" s="6" t="s">
        <v>1067</v>
      </c>
    </row>
    <row r="68">
      <c r="B68" s="6" t="s">
        <v>1114</v>
      </c>
    </row>
    <row r="69">
      <c r="B69" s="6" t="s">
        <v>1119</v>
      </c>
    </row>
    <row r="70">
      <c r="B70" s="6" t="s">
        <v>1120</v>
      </c>
    </row>
    <row r="71">
      <c r="B71" s="6" t="s">
        <v>1082</v>
      </c>
    </row>
    <row r="72">
      <c r="B72" s="6" t="s">
        <v>1073</v>
      </c>
    </row>
    <row r="73">
      <c r="B73" s="6" t="s">
        <v>1123</v>
      </c>
    </row>
    <row r="74">
      <c r="B74" s="6" t="s">
        <v>1124</v>
      </c>
    </row>
    <row r="75">
      <c r="B75" s="6" t="s">
        <v>1077</v>
      </c>
    </row>
    <row r="76">
      <c r="B76" s="6" t="s">
        <v>1125</v>
      </c>
    </row>
    <row r="77">
      <c r="B77" s="6" t="s">
        <v>1108</v>
      </c>
    </row>
    <row r="78">
      <c r="B78" s="6" t="s">
        <v>1063</v>
      </c>
    </row>
    <row r="79">
      <c r="B79" s="6" t="s">
        <v>1117</v>
      </c>
    </row>
    <row r="80">
      <c r="B80" s="6" t="s">
        <v>1126</v>
      </c>
    </row>
    <row r="81">
      <c r="B81" s="6" t="s">
        <v>1104</v>
      </c>
    </row>
    <row r="82">
      <c r="B82" s="6" t="s">
        <v>1071</v>
      </c>
    </row>
    <row r="83">
      <c r="B83" s="6" t="s">
        <v>1114</v>
      </c>
    </row>
    <row r="84">
      <c r="B84" s="6" t="s">
        <v>1067</v>
      </c>
    </row>
    <row r="85">
      <c r="B85" s="6" t="s">
        <v>1127</v>
      </c>
    </row>
    <row r="86">
      <c r="B86" s="6" t="s">
        <v>1073</v>
      </c>
    </row>
    <row r="87">
      <c r="B87" s="6" t="s">
        <v>1128</v>
      </c>
    </row>
    <row r="88">
      <c r="B88" s="6" t="s">
        <v>1130</v>
      </c>
    </row>
    <row r="89">
      <c r="B89" s="6" t="s">
        <v>1132</v>
      </c>
    </row>
    <row r="90">
      <c r="B90" s="6" t="s">
        <v>1133</v>
      </c>
    </row>
    <row r="91">
      <c r="B91" s="6" t="s">
        <v>1134</v>
      </c>
    </row>
    <row r="92">
      <c r="B92" s="6" t="s">
        <v>1135</v>
      </c>
    </row>
    <row r="93">
      <c r="B93" s="6" t="s">
        <v>1094</v>
      </c>
    </row>
    <row r="94">
      <c r="B94" s="6" t="s">
        <v>1076</v>
      </c>
    </row>
    <row r="95">
      <c r="B95" s="6" t="s">
        <v>1136</v>
      </c>
    </row>
    <row r="96">
      <c r="B96" s="6" t="s">
        <v>1137</v>
      </c>
    </row>
    <row r="97">
      <c r="B97" s="6" t="s">
        <v>1130</v>
      </c>
    </row>
    <row r="98">
      <c r="B98" s="6" t="s">
        <v>1086</v>
      </c>
    </row>
    <row r="99">
      <c r="B99" s="6" t="s">
        <v>1140</v>
      </c>
    </row>
    <row r="100">
      <c r="B100" s="6" t="s">
        <v>1141</v>
      </c>
    </row>
    <row r="101">
      <c r="B101" s="6" t="s">
        <v>1114</v>
      </c>
    </row>
    <row r="102">
      <c r="B102" s="6" t="s">
        <v>1142</v>
      </c>
    </row>
    <row r="103">
      <c r="B103" s="6" t="s">
        <v>1143</v>
      </c>
    </row>
    <row r="104">
      <c r="B104" s="6" t="s">
        <v>1096</v>
      </c>
    </row>
    <row r="105">
      <c r="B105" s="6" t="s">
        <v>1067</v>
      </c>
    </row>
    <row r="106">
      <c r="B106" s="6" t="s">
        <v>1123</v>
      </c>
    </row>
    <row r="107">
      <c r="B107" s="6" t="s">
        <v>1140</v>
      </c>
    </row>
    <row r="108">
      <c r="B108" s="6" t="s">
        <v>48</v>
      </c>
    </row>
    <row r="109">
      <c r="B109" s="6" t="s">
        <v>1144</v>
      </c>
    </row>
    <row r="110">
      <c r="B110" s="6" t="s">
        <v>1058</v>
      </c>
    </row>
    <row r="111">
      <c r="C111" s="6" t="s">
        <v>1147</v>
      </c>
    </row>
    <row r="112">
      <c r="C112" s="6" t="s">
        <v>1148</v>
      </c>
    </row>
    <row r="113">
      <c r="C113" s="6" t="s">
        <v>1149</v>
      </c>
    </row>
    <row r="114">
      <c r="C114" s="6" t="s">
        <v>1150</v>
      </c>
    </row>
    <row r="115">
      <c r="C115" s="6" t="s">
        <v>1151</v>
      </c>
    </row>
    <row r="116">
      <c r="C116" s="6" t="s">
        <v>1058</v>
      </c>
    </row>
    <row r="117">
      <c r="D117" s="6" t="s">
        <v>1152</v>
      </c>
    </row>
    <row r="118">
      <c r="D118" s="6" t="s">
        <v>1154</v>
      </c>
    </row>
    <row r="119">
      <c r="D119" s="6" t="s">
        <v>1156</v>
      </c>
    </row>
    <row r="120">
      <c r="D120" s="6" t="s">
        <v>1157</v>
      </c>
    </row>
    <row r="121">
      <c r="D121" s="6" t="s">
        <v>1158</v>
      </c>
    </row>
    <row r="122">
      <c r="D122" s="6" t="s">
        <v>1159</v>
      </c>
    </row>
    <row r="123">
      <c r="D123" s="6" t="s">
        <v>1160</v>
      </c>
    </row>
    <row r="124">
      <c r="D124" s="6" t="s">
        <v>1161</v>
      </c>
    </row>
    <row r="125">
      <c r="D125" s="6" t="s">
        <v>1162</v>
      </c>
    </row>
    <row r="126">
      <c r="D126" s="6" t="s">
        <v>1164</v>
      </c>
    </row>
    <row r="127">
      <c r="D127" s="6" t="s">
        <v>1166</v>
      </c>
    </row>
    <row r="128">
      <c r="D128" s="6" t="s">
        <v>1167</v>
      </c>
    </row>
    <row r="129">
      <c r="D129" s="6" t="s">
        <v>1168</v>
      </c>
    </row>
    <row r="130">
      <c r="D130" s="6" t="s">
        <v>1169</v>
      </c>
    </row>
    <row r="131">
      <c r="D131" s="6" t="s">
        <v>1170</v>
      </c>
    </row>
    <row r="132">
      <c r="D132" s="6" t="s">
        <v>1171</v>
      </c>
    </row>
    <row r="133">
      <c r="D133" s="6" t="s">
        <v>1173</v>
      </c>
    </row>
    <row r="134">
      <c r="D134" s="6" t="s">
        <v>1175</v>
      </c>
    </row>
    <row r="135">
      <c r="D135" s="6" t="s">
        <v>1176</v>
      </c>
    </row>
    <row r="136">
      <c r="D136" s="6" t="s">
        <v>1177</v>
      </c>
    </row>
    <row r="137">
      <c r="D137" s="6" t="s">
        <v>1178</v>
      </c>
    </row>
    <row r="138">
      <c r="D138" s="6" t="s">
        <v>1179</v>
      </c>
    </row>
    <row r="139">
      <c r="D139" s="6" t="s">
        <v>1180</v>
      </c>
    </row>
    <row r="140">
      <c r="D140" s="6" t="s">
        <v>1182</v>
      </c>
    </row>
    <row r="141">
      <c r="D141" s="6" t="s">
        <v>1183</v>
      </c>
    </row>
    <row r="142">
      <c r="D142" s="6" t="s">
        <v>1184</v>
      </c>
    </row>
    <row r="143">
      <c r="D143" s="6" t="s">
        <v>1185</v>
      </c>
    </row>
    <row r="144">
      <c r="D144" s="6" t="s">
        <v>1187</v>
      </c>
    </row>
    <row r="145">
      <c r="D145" s="6" t="s">
        <v>1188</v>
      </c>
    </row>
    <row r="146">
      <c r="D146" s="6" t="s">
        <v>1189</v>
      </c>
    </row>
    <row r="147">
      <c r="D147" s="6" t="s">
        <v>1190</v>
      </c>
    </row>
    <row r="148">
      <c r="D148" s="6" t="s">
        <v>1191</v>
      </c>
    </row>
    <row r="149">
      <c r="D149" s="6" t="s">
        <v>1193</v>
      </c>
    </row>
    <row r="150">
      <c r="D150" s="6" t="s">
        <v>1194</v>
      </c>
    </row>
    <row r="151">
      <c r="D151" s="6" t="s">
        <v>1195</v>
      </c>
    </row>
    <row r="152">
      <c r="D152" s="6" t="s">
        <v>1196</v>
      </c>
    </row>
    <row r="153">
      <c r="D153" s="6" t="s">
        <v>1197</v>
      </c>
    </row>
    <row r="154">
      <c r="D154" s="6" t="s">
        <v>1198</v>
      </c>
    </row>
    <row r="155">
      <c r="D155" s="6" t="s">
        <v>1200</v>
      </c>
    </row>
    <row r="156">
      <c r="D156" s="6" t="s">
        <v>1201</v>
      </c>
    </row>
    <row r="157">
      <c r="D157" s="6" t="s">
        <v>1202</v>
      </c>
    </row>
    <row r="158">
      <c r="D158" s="6" t="s">
        <v>1203</v>
      </c>
    </row>
    <row r="159">
      <c r="D159" s="6" t="s">
        <v>1204</v>
      </c>
    </row>
    <row r="160">
      <c r="D160" s="6" t="s">
        <v>1205</v>
      </c>
    </row>
    <row r="161">
      <c r="D161" s="6" t="s">
        <v>1206</v>
      </c>
    </row>
    <row r="162">
      <c r="D162" s="6" t="s">
        <v>1207</v>
      </c>
    </row>
    <row r="163">
      <c r="D163" s="6" t="s">
        <v>1208</v>
      </c>
    </row>
    <row r="164">
      <c r="D164" s="6" t="s">
        <v>1209</v>
      </c>
    </row>
    <row r="165">
      <c r="D165" s="6" t="s">
        <v>1211</v>
      </c>
    </row>
    <row r="166">
      <c r="D166" s="6" t="s">
        <v>1212</v>
      </c>
    </row>
    <row r="167">
      <c r="D167" s="6" t="s">
        <v>1213</v>
      </c>
    </row>
    <row r="168">
      <c r="D168" s="6" t="s">
        <v>1214</v>
      </c>
    </row>
    <row r="169">
      <c r="D169" s="6" t="s">
        <v>1215</v>
      </c>
    </row>
    <row r="170">
      <c r="D170" s="6" t="s">
        <v>1216</v>
      </c>
    </row>
    <row r="171">
      <c r="D171" s="6" t="s">
        <v>1217</v>
      </c>
    </row>
    <row r="172">
      <c r="D172" s="6" t="s">
        <v>1218</v>
      </c>
    </row>
    <row r="173">
      <c r="D173" s="6" t="s">
        <v>1219</v>
      </c>
    </row>
    <row r="174">
      <c r="D174" s="6" t="s">
        <v>1221</v>
      </c>
    </row>
    <row r="175">
      <c r="D175" s="6" t="s">
        <v>1222</v>
      </c>
    </row>
    <row r="176">
      <c r="D176" s="6" t="s">
        <v>1223</v>
      </c>
    </row>
    <row r="177">
      <c r="D177" s="6" t="s">
        <v>1224</v>
      </c>
    </row>
    <row r="178">
      <c r="D178" s="6" t="s">
        <v>1225</v>
      </c>
    </row>
    <row r="179">
      <c r="D179" s="6" t="s">
        <v>1226</v>
      </c>
    </row>
    <row r="180">
      <c r="D180" s="6" t="s">
        <v>1227</v>
      </c>
    </row>
    <row r="181">
      <c r="D181" s="6" t="s">
        <v>1228</v>
      </c>
    </row>
    <row r="182">
      <c r="D182" s="6" t="s">
        <v>1229</v>
      </c>
    </row>
    <row r="183">
      <c r="D183" s="6" t="s">
        <v>1230</v>
      </c>
    </row>
    <row r="184">
      <c r="D184" s="6" t="s">
        <v>1231</v>
      </c>
    </row>
    <row r="185">
      <c r="D185" s="6" t="s">
        <v>1232</v>
      </c>
    </row>
    <row r="186">
      <c r="D186" s="6" t="s">
        <v>1234</v>
      </c>
    </row>
    <row r="187">
      <c r="D187" s="6" t="s">
        <v>1235</v>
      </c>
    </row>
    <row r="188">
      <c r="D188" s="6" t="s">
        <v>1236</v>
      </c>
    </row>
    <row r="189">
      <c r="D189" s="6" t="s">
        <v>1237</v>
      </c>
    </row>
    <row r="190">
      <c r="D190" s="6" t="s">
        <v>1238</v>
      </c>
    </row>
    <row r="191">
      <c r="D191" s="6" t="s">
        <v>1239</v>
      </c>
    </row>
    <row r="192">
      <c r="D192" s="6" t="s">
        <v>1241</v>
      </c>
    </row>
    <row r="193">
      <c r="D193" s="6" t="s">
        <v>1242</v>
      </c>
    </row>
    <row r="194">
      <c r="D194" s="6" t="s">
        <v>1243</v>
      </c>
    </row>
    <row r="195">
      <c r="D195" s="6" t="s">
        <v>1244</v>
      </c>
    </row>
    <row r="196">
      <c r="D196" s="6" t="s">
        <v>1245</v>
      </c>
    </row>
    <row r="197">
      <c r="D197" s="6" t="s">
        <v>1246</v>
      </c>
    </row>
    <row r="198">
      <c r="D198" s="6" t="s">
        <v>1248</v>
      </c>
    </row>
    <row r="199">
      <c r="D199" s="6" t="s">
        <v>1249</v>
      </c>
    </row>
    <row r="200">
      <c r="D200" s="6" t="s">
        <v>1250</v>
      </c>
    </row>
    <row r="201">
      <c r="D201" s="6" t="s">
        <v>1251</v>
      </c>
    </row>
    <row r="202">
      <c r="D202" s="6" t="s">
        <v>1252</v>
      </c>
    </row>
    <row r="203">
      <c r="D203" s="6" t="s">
        <v>1253</v>
      </c>
    </row>
    <row r="204">
      <c r="D204" s="6" t="s">
        <v>1255</v>
      </c>
    </row>
    <row r="205">
      <c r="D205" s="6" t="s">
        <v>1256</v>
      </c>
    </row>
    <row r="206">
      <c r="D206" s="6" t="s">
        <v>1257</v>
      </c>
    </row>
    <row r="207">
      <c r="D207" s="6" t="s">
        <v>1258</v>
      </c>
    </row>
    <row r="208">
      <c r="D208" s="6" t="s">
        <v>1259</v>
      </c>
    </row>
    <row r="209">
      <c r="D209" s="6" t="s">
        <v>1260</v>
      </c>
    </row>
    <row r="210">
      <c r="D210" s="6" t="s">
        <v>1261</v>
      </c>
    </row>
    <row r="211">
      <c r="D211" s="6" t="s">
        <v>1262</v>
      </c>
    </row>
    <row r="212">
      <c r="D212" s="6" t="s">
        <v>1263</v>
      </c>
    </row>
    <row r="213">
      <c r="D213" s="6" t="s">
        <v>1265</v>
      </c>
    </row>
    <row r="214">
      <c r="D214" s="6" t="s">
        <v>1266</v>
      </c>
    </row>
    <row r="215">
      <c r="D215" s="6" t="s">
        <v>1267</v>
      </c>
    </row>
    <row r="216">
      <c r="D216" s="6" t="s">
        <v>1268</v>
      </c>
    </row>
    <row r="217">
      <c r="D217" s="6" t="s">
        <v>1269</v>
      </c>
    </row>
    <row r="218">
      <c r="D218" s="6" t="s">
        <v>1270</v>
      </c>
    </row>
    <row r="219">
      <c r="D219" s="6" t="s">
        <v>1272</v>
      </c>
    </row>
    <row r="220">
      <c r="D220" s="6" t="s">
        <v>1273</v>
      </c>
    </row>
    <row r="221">
      <c r="D221" s="6" t="s">
        <v>1274</v>
      </c>
    </row>
    <row r="222">
      <c r="D222" s="6" t="s">
        <v>1275</v>
      </c>
    </row>
    <row r="223">
      <c r="D223" s="6" t="s">
        <v>1276</v>
      </c>
    </row>
    <row r="224">
      <c r="D224" s="6" t="s">
        <v>1277</v>
      </c>
    </row>
    <row r="225">
      <c r="D225" s="6" t="s">
        <v>1278</v>
      </c>
    </row>
    <row r="226">
      <c r="D226" s="6" t="s">
        <v>1279</v>
      </c>
    </row>
    <row r="227">
      <c r="D227" s="6" t="s">
        <v>1280</v>
      </c>
    </row>
    <row r="228">
      <c r="D228" s="6" t="s">
        <v>1282</v>
      </c>
    </row>
    <row r="229">
      <c r="D229" s="6" t="s">
        <v>1283</v>
      </c>
    </row>
    <row r="230">
      <c r="D230" s="6" t="s">
        <v>1284</v>
      </c>
    </row>
    <row r="231">
      <c r="D231" s="6" t="s">
        <v>1285</v>
      </c>
    </row>
    <row r="232">
      <c r="D232" s="6" t="s">
        <v>1286</v>
      </c>
    </row>
    <row r="233">
      <c r="D233" s="6" t="s">
        <v>1287</v>
      </c>
    </row>
    <row r="234">
      <c r="D234" s="6" t="s">
        <v>1288</v>
      </c>
    </row>
    <row r="235">
      <c r="D235" s="6" t="s">
        <v>1289</v>
      </c>
    </row>
    <row r="236">
      <c r="D236" s="6" t="s">
        <v>1291</v>
      </c>
    </row>
    <row r="237">
      <c r="D237" s="6" t="s">
        <v>1292</v>
      </c>
    </row>
    <row r="238">
      <c r="D238" s="6" t="s">
        <v>1293</v>
      </c>
    </row>
    <row r="239">
      <c r="D239" s="6" t="s">
        <v>1294</v>
      </c>
    </row>
    <row r="240">
      <c r="C240" s="6"/>
      <c r="D240" s="6" t="s">
        <v>1295</v>
      </c>
    </row>
    <row r="241">
      <c r="B241" s="6"/>
      <c r="D241" s="6" t="s">
        <v>1296</v>
      </c>
    </row>
    <row r="242">
      <c r="D242" s="6" t="s">
        <v>1298</v>
      </c>
    </row>
    <row r="243">
      <c r="B243" s="6"/>
      <c r="D243" s="6" t="s">
        <v>1299</v>
      </c>
    </row>
    <row r="244">
      <c r="B244" s="6"/>
      <c r="D244" s="6" t="s">
        <v>1300</v>
      </c>
    </row>
    <row r="245">
      <c r="D245" s="6" t="s">
        <v>1301</v>
      </c>
    </row>
    <row r="246">
      <c r="B246" s="6"/>
      <c r="D246" s="6" t="s">
        <v>1302</v>
      </c>
    </row>
    <row r="247">
      <c r="B247" s="6"/>
      <c r="D247" s="6" t="s">
        <v>1303</v>
      </c>
    </row>
    <row r="248">
      <c r="B248" s="6"/>
      <c r="D248" s="6" t="s">
        <v>1304</v>
      </c>
    </row>
    <row r="249">
      <c r="B249" s="6"/>
      <c r="D249" s="6" t="s">
        <v>1306</v>
      </c>
    </row>
    <row r="250">
      <c r="B250" s="6"/>
      <c r="D250" s="6" t="s">
        <v>1307</v>
      </c>
    </row>
    <row r="251">
      <c r="B251" s="6"/>
      <c r="D251" s="6" t="s">
        <v>1308</v>
      </c>
    </row>
    <row r="252">
      <c r="B252" s="6"/>
      <c r="D252" s="6" t="s">
        <v>1309</v>
      </c>
    </row>
    <row r="253">
      <c r="B253" s="6"/>
      <c r="C253" s="6" t="s">
        <v>1310</v>
      </c>
    </row>
    <row r="254">
      <c r="B254" s="6" t="s">
        <v>1310</v>
      </c>
    </row>
    <row r="255">
      <c r="B255" s="6"/>
    </row>
    <row r="256">
      <c r="B256" s="6" t="s">
        <v>1060</v>
      </c>
    </row>
    <row r="257">
      <c r="B257" s="6" t="s">
        <v>1062</v>
      </c>
    </row>
    <row r="258">
      <c r="B258" s="6"/>
    </row>
    <row r="259">
      <c r="B259" s="6" t="s">
        <v>1074</v>
      </c>
    </row>
    <row r="260">
      <c r="B260" s="6" t="s">
        <v>1067</v>
      </c>
    </row>
    <row r="261">
      <c r="B261" s="6" t="s">
        <v>1102</v>
      </c>
    </row>
    <row r="262">
      <c r="B262" s="6" t="s">
        <v>1312</v>
      </c>
    </row>
    <row r="263">
      <c r="B263" s="6" t="s">
        <v>1313</v>
      </c>
    </row>
    <row r="264">
      <c r="B264" s="6" t="s">
        <v>1117</v>
      </c>
    </row>
    <row r="265">
      <c r="B265" s="6" t="s">
        <v>1314</v>
      </c>
    </row>
    <row r="266">
      <c r="B266" s="6" t="s">
        <v>1315</v>
      </c>
    </row>
    <row r="267">
      <c r="B267" s="6" t="s">
        <v>1317</v>
      </c>
    </row>
    <row r="268">
      <c r="B268" s="6" t="s">
        <v>1318</v>
      </c>
    </row>
    <row r="269">
      <c r="B269" s="6" t="s">
        <v>1082</v>
      </c>
    </row>
    <row r="270">
      <c r="B270" s="6" t="s">
        <v>1092</v>
      </c>
    </row>
    <row r="271">
      <c r="B271" s="6" t="s">
        <v>1140</v>
      </c>
    </row>
    <row r="272">
      <c r="B272" s="6" t="s">
        <v>1140</v>
      </c>
    </row>
    <row r="273">
      <c r="B273" s="6" t="s">
        <v>1067</v>
      </c>
    </row>
    <row r="274">
      <c r="B274" s="6" t="s">
        <v>1076</v>
      </c>
    </row>
    <row r="275">
      <c r="B275" s="6" t="s">
        <v>1096</v>
      </c>
    </row>
    <row r="276">
      <c r="B276" s="6" t="s">
        <v>1320</v>
      </c>
    </row>
    <row r="277">
      <c r="B277" s="6" t="s">
        <v>1104</v>
      </c>
    </row>
    <row r="278">
      <c r="B278" s="6" t="s">
        <v>1322</v>
      </c>
    </row>
    <row r="279">
      <c r="B279" s="6" t="s">
        <v>1071</v>
      </c>
    </row>
    <row r="280">
      <c r="B280" s="6" t="s">
        <v>1323</v>
      </c>
    </row>
    <row r="281">
      <c r="B281" s="6" t="s">
        <v>1324</v>
      </c>
    </row>
    <row r="282">
      <c r="B282" s="6" t="s">
        <v>1325</v>
      </c>
    </row>
    <row r="283">
      <c r="B283" s="6" t="s">
        <v>1326</v>
      </c>
    </row>
    <row r="284">
      <c r="B284" s="6" t="s">
        <v>1071</v>
      </c>
    </row>
    <row r="285">
      <c r="B285" s="6" t="s">
        <v>1116</v>
      </c>
    </row>
    <row r="286">
      <c r="B286" s="6" t="s">
        <v>1327</v>
      </c>
    </row>
    <row r="287">
      <c r="B287" s="6" t="s">
        <v>1067</v>
      </c>
    </row>
    <row r="288">
      <c r="B288" s="6" t="s">
        <v>1067</v>
      </c>
    </row>
    <row r="289">
      <c r="B289" s="6" t="s">
        <v>1083</v>
      </c>
    </row>
    <row r="290">
      <c r="B290" s="6" t="s">
        <v>1317</v>
      </c>
    </row>
    <row r="291">
      <c r="B291" s="6" t="s">
        <v>1081</v>
      </c>
    </row>
    <row r="292">
      <c r="B292" s="6" t="s">
        <v>1320</v>
      </c>
    </row>
    <row r="293">
      <c r="B293" s="6" t="s">
        <v>1104</v>
      </c>
    </row>
    <row r="294">
      <c r="B294" s="6" t="s">
        <v>1329</v>
      </c>
    </row>
    <row r="295">
      <c r="B295" s="6" t="s">
        <v>1331</v>
      </c>
    </row>
    <row r="296">
      <c r="B296" s="6" t="s">
        <v>1096</v>
      </c>
    </row>
    <row r="297">
      <c r="B297" s="6" t="s">
        <v>1083</v>
      </c>
    </row>
    <row r="298">
      <c r="B298" s="6" t="s">
        <v>1332</v>
      </c>
    </row>
    <row r="299">
      <c r="B299" s="6" t="s">
        <v>1324</v>
      </c>
    </row>
    <row r="300">
      <c r="B300" s="6" t="s">
        <v>1100</v>
      </c>
    </row>
    <row r="301">
      <c r="B301" s="6" t="s">
        <v>1063</v>
      </c>
    </row>
    <row r="302">
      <c r="B302" s="6" t="s">
        <v>1075</v>
      </c>
    </row>
    <row r="303">
      <c r="B303" s="6" t="s">
        <v>1101</v>
      </c>
    </row>
    <row r="304">
      <c r="B304" s="6" t="s">
        <v>1093</v>
      </c>
    </row>
    <row r="305">
      <c r="B305" s="6" t="s">
        <v>1066</v>
      </c>
    </row>
    <row r="306">
      <c r="B306" s="6" t="s">
        <v>1107</v>
      </c>
    </row>
    <row r="307">
      <c r="B307" s="6" t="s">
        <v>1109</v>
      </c>
    </row>
    <row r="308">
      <c r="B308" s="6" t="s">
        <v>1336</v>
      </c>
    </row>
    <row r="309">
      <c r="B309" s="6" t="s">
        <v>1325</v>
      </c>
    </row>
    <row r="310">
      <c r="B310" s="6" t="s">
        <v>1337</v>
      </c>
    </row>
    <row r="311">
      <c r="B311" s="6" t="s">
        <v>1067</v>
      </c>
    </row>
    <row r="312">
      <c r="B312" s="6" t="s">
        <v>1073</v>
      </c>
    </row>
    <row r="313">
      <c r="B313" s="6" t="s">
        <v>1101</v>
      </c>
    </row>
    <row r="314">
      <c r="B314" s="6" t="s">
        <v>1340</v>
      </c>
    </row>
    <row r="315">
      <c r="B315" s="6" t="s">
        <v>1327</v>
      </c>
    </row>
    <row r="316">
      <c r="B316" s="6" t="s">
        <v>1118</v>
      </c>
    </row>
    <row r="317">
      <c r="B317" s="6" t="s">
        <v>1130</v>
      </c>
    </row>
    <row r="318">
      <c r="B318" s="6" t="s">
        <v>1134</v>
      </c>
    </row>
    <row r="319">
      <c r="B319" s="6" t="s">
        <v>1067</v>
      </c>
    </row>
    <row r="320">
      <c r="B320" s="6" t="s">
        <v>1099</v>
      </c>
    </row>
    <row r="321">
      <c r="B321" s="6" t="s">
        <v>1075</v>
      </c>
    </row>
    <row r="322">
      <c r="B322" s="6" t="s">
        <v>1067</v>
      </c>
    </row>
    <row r="323">
      <c r="B323" s="6" t="s">
        <v>1133</v>
      </c>
    </row>
    <row r="324">
      <c r="B324" s="6" t="s">
        <v>1342</v>
      </c>
    </row>
    <row r="325">
      <c r="B325" s="6" t="s">
        <v>1140</v>
      </c>
    </row>
    <row r="326">
      <c r="B326" s="6" t="s">
        <v>1101</v>
      </c>
    </row>
    <row r="327">
      <c r="B327" s="6" t="s">
        <v>1083</v>
      </c>
    </row>
    <row r="328">
      <c r="B328" s="6" t="s">
        <v>1343</v>
      </c>
    </row>
    <row r="329">
      <c r="B329" s="6" t="s">
        <v>1118</v>
      </c>
    </row>
    <row r="330">
      <c r="B330" s="6" t="s">
        <v>1110</v>
      </c>
    </row>
    <row r="331">
      <c r="B331" s="6" t="s">
        <v>1344</v>
      </c>
    </row>
    <row r="332">
      <c r="B332" s="6" t="s">
        <v>1317</v>
      </c>
    </row>
    <row r="333">
      <c r="B333" s="6" t="s">
        <v>1347</v>
      </c>
    </row>
    <row r="334">
      <c r="B334" s="6" t="s">
        <v>1317</v>
      </c>
    </row>
    <row r="335">
      <c r="B335" s="6" t="s">
        <v>1067</v>
      </c>
    </row>
    <row r="336">
      <c r="B336" s="6" t="s">
        <v>1347</v>
      </c>
    </row>
    <row r="337">
      <c r="B337" s="6" t="s">
        <v>1314</v>
      </c>
    </row>
    <row r="338">
      <c r="B338" s="6" t="s">
        <v>1073</v>
      </c>
    </row>
    <row r="339">
      <c r="B339" s="6" t="s">
        <v>1332</v>
      </c>
    </row>
    <row r="340">
      <c r="B340" s="6" t="s">
        <v>1092</v>
      </c>
    </row>
    <row r="341">
      <c r="B341" s="6" t="s">
        <v>1114</v>
      </c>
    </row>
    <row r="342">
      <c r="B342" s="6" t="s">
        <v>1140</v>
      </c>
    </row>
    <row r="343">
      <c r="B343" s="6" t="s">
        <v>1313</v>
      </c>
    </row>
    <row r="344">
      <c r="B344" s="6" t="s">
        <v>1118</v>
      </c>
    </row>
    <row r="345">
      <c r="B345" s="6" t="s">
        <v>1067</v>
      </c>
    </row>
    <row r="346">
      <c r="B346" s="6" t="s">
        <v>1133</v>
      </c>
    </row>
    <row r="347">
      <c r="B347" s="6" t="s">
        <v>1350</v>
      </c>
    </row>
    <row r="348">
      <c r="B348" s="6" t="s">
        <v>1327</v>
      </c>
    </row>
    <row r="349">
      <c r="B349" s="6" t="s">
        <v>1351</v>
      </c>
      <c r="C349" s="6"/>
    </row>
    <row r="350">
      <c r="B350" s="6" t="s">
        <v>1352</v>
      </c>
      <c r="C350" s="6"/>
    </row>
    <row r="351">
      <c r="B351" s="6" t="s">
        <v>1337</v>
      </c>
      <c r="C351" s="6"/>
    </row>
    <row r="352">
      <c r="B352" s="6" t="s">
        <v>1073</v>
      </c>
      <c r="C352" s="6"/>
    </row>
    <row r="353">
      <c r="B353" s="6" t="s">
        <v>1353</v>
      </c>
      <c r="C353" s="6"/>
    </row>
    <row r="354">
      <c r="B354" s="6" t="s">
        <v>1071</v>
      </c>
      <c r="C354" s="6"/>
    </row>
    <row r="355">
      <c r="B355" s="6" t="s">
        <v>1083</v>
      </c>
      <c r="D355" s="6"/>
    </row>
    <row r="356">
      <c r="B356" s="6" t="s">
        <v>1104</v>
      </c>
      <c r="D356" s="6"/>
    </row>
    <row r="357">
      <c r="B357" s="6" t="s">
        <v>1356</v>
      </c>
      <c r="D357" s="6"/>
    </row>
    <row r="358">
      <c r="B358" s="6" t="s">
        <v>1108</v>
      </c>
      <c r="D358" s="6"/>
    </row>
    <row r="359">
      <c r="B359" s="6" t="s">
        <v>48</v>
      </c>
      <c r="D359" s="6"/>
    </row>
    <row r="360">
      <c r="B360" s="6" t="s">
        <v>1357</v>
      </c>
      <c r="D360" s="6"/>
    </row>
    <row r="361">
      <c r="B361" s="6" t="s">
        <v>1058</v>
      </c>
      <c r="D361" s="6"/>
    </row>
    <row r="362">
      <c r="C362" s="6" t="s">
        <v>1147</v>
      </c>
      <c r="D362" s="6"/>
    </row>
    <row r="363">
      <c r="C363" s="6" t="s">
        <v>1358</v>
      </c>
      <c r="D363" s="6"/>
    </row>
    <row r="364">
      <c r="C364" s="6" t="s">
        <v>1149</v>
      </c>
      <c r="D364" s="6"/>
    </row>
    <row r="365">
      <c r="C365" s="6" t="s">
        <v>1359</v>
      </c>
      <c r="D365" s="6"/>
    </row>
    <row r="366">
      <c r="C366" s="6" t="s">
        <v>1151</v>
      </c>
      <c r="D366" s="6"/>
    </row>
    <row r="367">
      <c r="C367" s="6" t="s">
        <v>1058</v>
      </c>
      <c r="D367" s="6"/>
    </row>
    <row r="368">
      <c r="D368" s="6" t="s">
        <v>1362</v>
      </c>
    </row>
    <row r="369">
      <c r="D369" s="6" t="s">
        <v>1363</v>
      </c>
    </row>
    <row r="370">
      <c r="D370" s="6" t="s">
        <v>1364</v>
      </c>
    </row>
    <row r="371">
      <c r="D371" s="6" t="s">
        <v>1365</v>
      </c>
    </row>
    <row r="372">
      <c r="D372" s="6" t="s">
        <v>1366</v>
      </c>
    </row>
    <row r="373">
      <c r="D373" s="6" t="s">
        <v>1367</v>
      </c>
    </row>
    <row r="374">
      <c r="D374" s="6" t="s">
        <v>1368</v>
      </c>
    </row>
    <row r="375">
      <c r="D375" s="6" t="s">
        <v>1369</v>
      </c>
    </row>
    <row r="376">
      <c r="D376" s="6" t="s">
        <v>1371</v>
      </c>
    </row>
    <row r="377">
      <c r="D377" s="6" t="s">
        <v>1373</v>
      </c>
    </row>
    <row r="378">
      <c r="D378" s="6" t="s">
        <v>1374</v>
      </c>
    </row>
    <row r="379">
      <c r="D379" s="6" t="s">
        <v>1375</v>
      </c>
    </row>
    <row r="380">
      <c r="D380" s="6" t="s">
        <v>1376</v>
      </c>
    </row>
    <row r="381">
      <c r="D381" s="6" t="s">
        <v>1377</v>
      </c>
    </row>
    <row r="382">
      <c r="D382" s="6" t="s">
        <v>1378</v>
      </c>
    </row>
    <row r="383">
      <c r="D383" s="6" t="s">
        <v>1379</v>
      </c>
    </row>
    <row r="384">
      <c r="D384" s="6" t="s">
        <v>1380</v>
      </c>
    </row>
    <row r="385">
      <c r="D385" s="6" t="s">
        <v>1381</v>
      </c>
    </row>
    <row r="386">
      <c r="D386" s="6" t="s">
        <v>1382</v>
      </c>
    </row>
    <row r="387">
      <c r="D387" s="6" t="s">
        <v>1383</v>
      </c>
    </row>
    <row r="388">
      <c r="D388" s="6" t="s">
        <v>1385</v>
      </c>
    </row>
    <row r="389">
      <c r="D389" s="6" t="s">
        <v>1387</v>
      </c>
    </row>
    <row r="390">
      <c r="D390" s="6" t="s">
        <v>1388</v>
      </c>
    </row>
    <row r="391">
      <c r="D391" s="6" t="s">
        <v>1389</v>
      </c>
    </row>
    <row r="392">
      <c r="D392" s="6" t="s">
        <v>1390</v>
      </c>
    </row>
    <row r="393">
      <c r="D393" s="6" t="s">
        <v>1391</v>
      </c>
    </row>
    <row r="394">
      <c r="D394" s="6" t="s">
        <v>1392</v>
      </c>
    </row>
    <row r="395">
      <c r="D395" s="6" t="s">
        <v>1395</v>
      </c>
    </row>
    <row r="396">
      <c r="D396" s="6" t="s">
        <v>1396</v>
      </c>
    </row>
    <row r="397">
      <c r="D397" s="6" t="s">
        <v>1397</v>
      </c>
    </row>
    <row r="398">
      <c r="D398" s="6" t="s">
        <v>1398</v>
      </c>
    </row>
    <row r="399">
      <c r="D399" s="6" t="s">
        <v>1399</v>
      </c>
    </row>
    <row r="400">
      <c r="D400" s="6" t="s">
        <v>1400</v>
      </c>
    </row>
    <row r="401">
      <c r="D401" s="6" t="s">
        <v>1401</v>
      </c>
    </row>
    <row r="402">
      <c r="D402" s="6" t="s">
        <v>1402</v>
      </c>
    </row>
    <row r="403">
      <c r="D403" s="6" t="s">
        <v>1405</v>
      </c>
    </row>
    <row r="404">
      <c r="D404" s="6" t="s">
        <v>1406</v>
      </c>
    </row>
    <row r="405">
      <c r="D405" s="6" t="s">
        <v>1407</v>
      </c>
    </row>
    <row r="406">
      <c r="D406" s="6" t="s">
        <v>1408</v>
      </c>
    </row>
    <row r="407">
      <c r="D407" s="6" t="s">
        <v>1409</v>
      </c>
    </row>
    <row r="408">
      <c r="D408" s="6" t="s">
        <v>1410</v>
      </c>
    </row>
    <row r="409">
      <c r="D409" s="6" t="s">
        <v>1411</v>
      </c>
    </row>
    <row r="410">
      <c r="D410" s="6" t="s">
        <v>1412</v>
      </c>
    </row>
    <row r="411">
      <c r="D411" s="6" t="s">
        <v>1413</v>
      </c>
    </row>
    <row r="412">
      <c r="D412" s="6" t="s">
        <v>1414</v>
      </c>
    </row>
    <row r="413">
      <c r="D413" s="6" t="s">
        <v>1416</v>
      </c>
    </row>
    <row r="414">
      <c r="D414" s="6" t="s">
        <v>1418</v>
      </c>
    </row>
    <row r="415">
      <c r="D415" s="6" t="s">
        <v>1419</v>
      </c>
    </row>
    <row r="416">
      <c r="D416" s="6" t="s">
        <v>1420</v>
      </c>
    </row>
    <row r="417">
      <c r="D417" s="6" t="s">
        <v>1421</v>
      </c>
    </row>
    <row r="418">
      <c r="D418" s="6" t="s">
        <v>1422</v>
      </c>
    </row>
    <row r="419">
      <c r="D419" s="6" t="s">
        <v>1423</v>
      </c>
    </row>
    <row r="420">
      <c r="D420" s="6" t="s">
        <v>1424</v>
      </c>
    </row>
    <row r="421">
      <c r="D421" s="6" t="s">
        <v>1425</v>
      </c>
    </row>
    <row r="422">
      <c r="D422" s="6" t="s">
        <v>1426</v>
      </c>
    </row>
    <row r="423">
      <c r="D423" s="6" t="s">
        <v>1427</v>
      </c>
    </row>
    <row r="424">
      <c r="D424" s="6" t="s">
        <v>1430</v>
      </c>
    </row>
    <row r="425">
      <c r="D425" s="6" t="s">
        <v>1431</v>
      </c>
    </row>
    <row r="426">
      <c r="D426" s="6" t="s">
        <v>1432</v>
      </c>
    </row>
    <row r="427">
      <c r="D427" s="6" t="s">
        <v>1433</v>
      </c>
    </row>
    <row r="428">
      <c r="D428" s="6" t="s">
        <v>1434</v>
      </c>
    </row>
    <row r="429">
      <c r="D429" s="6" t="s">
        <v>1435</v>
      </c>
    </row>
    <row r="430">
      <c r="D430" s="6" t="s">
        <v>1436</v>
      </c>
    </row>
    <row r="431">
      <c r="D431" s="6" t="s">
        <v>1437</v>
      </c>
    </row>
    <row r="432">
      <c r="D432" s="6" t="s">
        <v>1438</v>
      </c>
    </row>
    <row r="433">
      <c r="D433" s="6" t="s">
        <v>1440</v>
      </c>
    </row>
    <row r="434">
      <c r="D434" s="6" t="s">
        <v>1442</v>
      </c>
    </row>
    <row r="435">
      <c r="D435" s="6" t="s">
        <v>1443</v>
      </c>
    </row>
    <row r="436">
      <c r="D436" s="6" t="s">
        <v>1444</v>
      </c>
    </row>
    <row r="437">
      <c r="D437" s="6" t="s">
        <v>1445</v>
      </c>
    </row>
    <row r="438">
      <c r="D438" s="6" t="s">
        <v>1446</v>
      </c>
    </row>
    <row r="439">
      <c r="D439" s="6" t="s">
        <v>1447</v>
      </c>
    </row>
    <row r="440">
      <c r="D440" s="6" t="s">
        <v>1448</v>
      </c>
    </row>
    <row r="441">
      <c r="D441" s="6" t="s">
        <v>1449</v>
      </c>
    </row>
    <row r="442">
      <c r="D442" s="6" t="s">
        <v>1452</v>
      </c>
    </row>
    <row r="443">
      <c r="D443" s="6" t="s">
        <v>1453</v>
      </c>
    </row>
    <row r="444">
      <c r="D444" s="6" t="s">
        <v>1454</v>
      </c>
    </row>
    <row r="445">
      <c r="D445" s="6" t="s">
        <v>1455</v>
      </c>
    </row>
    <row r="446">
      <c r="D446" s="6" t="s">
        <v>1456</v>
      </c>
    </row>
    <row r="447">
      <c r="D447" s="6" t="s">
        <v>1457</v>
      </c>
    </row>
    <row r="448">
      <c r="D448" s="6" t="s">
        <v>1458</v>
      </c>
    </row>
    <row r="449">
      <c r="D449" s="6" t="s">
        <v>1459</v>
      </c>
    </row>
    <row r="450">
      <c r="D450" s="6" t="s">
        <v>1460</v>
      </c>
    </row>
    <row r="451">
      <c r="D451" s="6" t="s">
        <v>1461</v>
      </c>
    </row>
    <row r="452">
      <c r="D452" s="6" t="s">
        <v>1462</v>
      </c>
    </row>
    <row r="453">
      <c r="D453" s="6" t="s">
        <v>1464</v>
      </c>
    </row>
    <row r="454">
      <c r="D454" s="6" t="s">
        <v>1466</v>
      </c>
    </row>
    <row r="455">
      <c r="D455" s="6" t="s">
        <v>1467</v>
      </c>
    </row>
    <row r="456">
      <c r="D456" s="6" t="s">
        <v>1468</v>
      </c>
    </row>
    <row r="457">
      <c r="D457" s="6" t="s">
        <v>1469</v>
      </c>
    </row>
    <row r="458">
      <c r="D458" s="6" t="s">
        <v>1470</v>
      </c>
    </row>
    <row r="459">
      <c r="D459" s="6" t="s">
        <v>1471</v>
      </c>
    </row>
    <row r="460">
      <c r="D460" s="6" t="s">
        <v>1472</v>
      </c>
    </row>
    <row r="461">
      <c r="D461" s="6" t="s">
        <v>1473</v>
      </c>
    </row>
    <row r="462">
      <c r="D462" s="6" t="s">
        <v>1474</v>
      </c>
    </row>
    <row r="463">
      <c r="D463" s="6" t="s">
        <v>1475</v>
      </c>
    </row>
    <row r="464">
      <c r="D464" s="6" t="s">
        <v>1476</v>
      </c>
    </row>
    <row r="465">
      <c r="D465" s="6" t="s">
        <v>1477</v>
      </c>
    </row>
    <row r="466">
      <c r="D466" s="6" t="s">
        <v>1478</v>
      </c>
    </row>
    <row r="467">
      <c r="D467" s="6" t="s">
        <v>1479</v>
      </c>
    </row>
    <row r="468">
      <c r="D468" s="6" t="s">
        <v>1481</v>
      </c>
    </row>
    <row r="469">
      <c r="D469" s="6" t="s">
        <v>1483</v>
      </c>
    </row>
    <row r="470">
      <c r="D470" s="6" t="s">
        <v>1484</v>
      </c>
    </row>
    <row r="471">
      <c r="D471" s="6" t="s">
        <v>1485</v>
      </c>
    </row>
    <row r="472">
      <c r="D472" s="6" t="s">
        <v>1486</v>
      </c>
    </row>
    <row r="473">
      <c r="D473" s="6" t="s">
        <v>1487</v>
      </c>
    </row>
    <row r="474">
      <c r="D474" s="6" t="s">
        <v>1488</v>
      </c>
    </row>
    <row r="475">
      <c r="D475" s="6" t="s">
        <v>1489</v>
      </c>
    </row>
    <row r="476">
      <c r="D476" s="6" t="s">
        <v>1490</v>
      </c>
    </row>
    <row r="477">
      <c r="D477" s="6" t="s">
        <v>1491</v>
      </c>
    </row>
    <row r="478">
      <c r="C478" s="6"/>
      <c r="D478" s="6" t="s">
        <v>1493</v>
      </c>
    </row>
    <row r="479">
      <c r="B479" s="6"/>
      <c r="D479" s="6" t="s">
        <v>1495</v>
      </c>
    </row>
    <row r="480">
      <c r="D480" s="6" t="s">
        <v>1496</v>
      </c>
    </row>
    <row r="481">
      <c r="B481" s="6"/>
      <c r="D481" s="6" t="s">
        <v>1497</v>
      </c>
    </row>
    <row r="482">
      <c r="B482" s="6"/>
      <c r="D482" s="6" t="s">
        <v>1498</v>
      </c>
    </row>
    <row r="483">
      <c r="D483" s="6" t="s">
        <v>1499</v>
      </c>
    </row>
    <row r="484">
      <c r="B484" s="6"/>
      <c r="D484" s="6" t="s">
        <v>1500</v>
      </c>
    </row>
    <row r="485">
      <c r="B485" s="6"/>
      <c r="D485" s="6" t="s">
        <v>1501</v>
      </c>
    </row>
    <row r="486">
      <c r="B486" s="6"/>
      <c r="D486" s="6" t="s">
        <v>1502</v>
      </c>
    </row>
    <row r="487">
      <c r="B487" s="6"/>
      <c r="D487" s="6" t="s">
        <v>1503</v>
      </c>
    </row>
    <row r="488">
      <c r="B488" s="6"/>
      <c r="D488" s="6" t="s">
        <v>1505</v>
      </c>
    </row>
    <row r="489">
      <c r="B489" s="6"/>
      <c r="D489" s="6" t="s">
        <v>1507</v>
      </c>
    </row>
    <row r="490">
      <c r="B490" s="6"/>
      <c r="D490" s="6" t="s">
        <v>1508</v>
      </c>
    </row>
    <row r="491">
      <c r="B491" s="6"/>
      <c r="D491" s="6" t="s">
        <v>1509</v>
      </c>
    </row>
    <row r="492">
      <c r="B492" s="6"/>
      <c r="D492" s="6" t="s">
        <v>1510</v>
      </c>
    </row>
    <row r="493">
      <c r="B493" s="6"/>
      <c r="D493" s="6" t="s">
        <v>1511</v>
      </c>
    </row>
    <row r="494">
      <c r="B494" s="6"/>
      <c r="D494" s="6" t="s">
        <v>1513</v>
      </c>
    </row>
    <row r="495">
      <c r="B495" s="6"/>
      <c r="D495" s="6" t="s">
        <v>1515</v>
      </c>
    </row>
    <row r="496">
      <c r="B496" s="6"/>
      <c r="D496" s="6" t="s">
        <v>1516</v>
      </c>
    </row>
    <row r="497">
      <c r="B497" s="6"/>
      <c r="D497" s="6" t="s">
        <v>1517</v>
      </c>
    </row>
    <row r="498">
      <c r="B498" s="6"/>
      <c r="D498" s="6" t="s">
        <v>1518</v>
      </c>
    </row>
    <row r="499">
      <c r="B499" s="6"/>
      <c r="D499" s="6" t="s">
        <v>1519</v>
      </c>
    </row>
    <row r="500">
      <c r="B500" s="6"/>
      <c r="D500" s="6" t="s">
        <v>1521</v>
      </c>
    </row>
    <row r="501">
      <c r="B501" s="6"/>
      <c r="D501" s="6" t="s">
        <v>1522</v>
      </c>
    </row>
    <row r="502">
      <c r="B502" s="6"/>
      <c r="D502" s="6" t="s">
        <v>1523</v>
      </c>
    </row>
    <row r="503">
      <c r="B503" s="6"/>
      <c r="D503" s="6" t="s">
        <v>1524</v>
      </c>
    </row>
    <row r="504">
      <c r="B504" s="6"/>
      <c r="C504" s="6" t="s">
        <v>1310</v>
      </c>
    </row>
    <row r="505">
      <c r="B505" s="6" t="s">
        <v>1310</v>
      </c>
    </row>
    <row r="506">
      <c r="B506" s="6"/>
    </row>
    <row r="507">
      <c r="B507" s="6" t="s">
        <v>1060</v>
      </c>
    </row>
    <row r="508">
      <c r="B508" s="6" t="s">
        <v>1062</v>
      </c>
    </row>
    <row r="509">
      <c r="B509" s="6"/>
    </row>
    <row r="510">
      <c r="B510" s="6" t="s">
        <v>1092</v>
      </c>
    </row>
    <row r="511">
      <c r="B511" s="6" t="s">
        <v>1114</v>
      </c>
    </row>
    <row r="512">
      <c r="B512" s="6" t="s">
        <v>1351</v>
      </c>
    </row>
    <row r="513">
      <c r="B513" s="6" t="s">
        <v>1096</v>
      </c>
    </row>
    <row r="514">
      <c r="B514" s="6" t="s">
        <v>1077</v>
      </c>
    </row>
    <row r="515">
      <c r="B515" s="6" t="s">
        <v>1088</v>
      </c>
    </row>
    <row r="516">
      <c r="B516" s="6" t="s">
        <v>1140</v>
      </c>
    </row>
    <row r="517">
      <c r="B517" s="6" t="s">
        <v>1072</v>
      </c>
    </row>
    <row r="518">
      <c r="B518" s="6" t="s">
        <v>1092</v>
      </c>
    </row>
    <row r="519">
      <c r="B519" s="6" t="s">
        <v>1529</v>
      </c>
    </row>
    <row r="520">
      <c r="B520" s="6" t="s">
        <v>1530</v>
      </c>
    </row>
    <row r="521">
      <c r="B521" s="6" t="s">
        <v>1092</v>
      </c>
    </row>
    <row r="522">
      <c r="B522" s="6" t="s">
        <v>1317</v>
      </c>
    </row>
    <row r="523">
      <c r="B523" s="6" t="s">
        <v>1317</v>
      </c>
    </row>
    <row r="524">
      <c r="B524" s="6" t="s">
        <v>1114</v>
      </c>
    </row>
    <row r="525">
      <c r="B525" s="6" t="s">
        <v>1529</v>
      </c>
    </row>
    <row r="526">
      <c r="B526" s="6" t="s">
        <v>1132</v>
      </c>
    </row>
    <row r="527">
      <c r="B527" s="6" t="s">
        <v>1531</v>
      </c>
    </row>
    <row r="528">
      <c r="B528" s="6" t="s">
        <v>1092</v>
      </c>
    </row>
    <row r="529">
      <c r="B529" s="6" t="s">
        <v>1532</v>
      </c>
    </row>
    <row r="530">
      <c r="B530" s="6" t="s">
        <v>1534</v>
      </c>
    </row>
    <row r="531">
      <c r="B531" s="6" t="s">
        <v>1136</v>
      </c>
    </row>
    <row r="532">
      <c r="B532" s="6" t="s">
        <v>1071</v>
      </c>
    </row>
    <row r="533">
      <c r="B533" s="6" t="s">
        <v>1325</v>
      </c>
    </row>
    <row r="534">
      <c r="B534" s="6" t="s">
        <v>1536</v>
      </c>
    </row>
    <row r="535">
      <c r="B535" s="6" t="s">
        <v>1534</v>
      </c>
    </row>
    <row r="536">
      <c r="B536" s="6" t="s">
        <v>1084</v>
      </c>
    </row>
    <row r="537">
      <c r="B537" s="6" t="s">
        <v>1103</v>
      </c>
    </row>
    <row r="538">
      <c r="B538" s="6" t="s">
        <v>1114</v>
      </c>
    </row>
    <row r="539">
      <c r="B539" s="6" t="s">
        <v>1114</v>
      </c>
    </row>
    <row r="540">
      <c r="B540" s="6" t="s">
        <v>1114</v>
      </c>
    </row>
    <row r="541">
      <c r="B541" s="6" t="s">
        <v>1092</v>
      </c>
    </row>
    <row r="542">
      <c r="B542" s="6" t="s">
        <v>1539</v>
      </c>
    </row>
    <row r="543">
      <c r="B543" s="6" t="s">
        <v>1531</v>
      </c>
    </row>
    <row r="544">
      <c r="B544" s="6" t="s">
        <v>1092</v>
      </c>
    </row>
    <row r="545">
      <c r="B545" s="6" t="s">
        <v>1092</v>
      </c>
    </row>
    <row r="546">
      <c r="B546" s="6" t="s">
        <v>1132</v>
      </c>
    </row>
    <row r="547">
      <c r="B547" s="6" t="s">
        <v>1318</v>
      </c>
    </row>
    <row r="548">
      <c r="B548" s="6" t="s">
        <v>1067</v>
      </c>
    </row>
    <row r="549">
      <c r="B549" s="6" t="s">
        <v>1542</v>
      </c>
    </row>
    <row r="550">
      <c r="B550" s="6" t="s">
        <v>1071</v>
      </c>
    </row>
    <row r="551">
      <c r="B551" s="6" t="s">
        <v>1543</v>
      </c>
    </row>
    <row r="552">
      <c r="B552" s="6" t="s">
        <v>1140</v>
      </c>
    </row>
    <row r="553">
      <c r="B553" s="6" t="s">
        <v>1077</v>
      </c>
    </row>
    <row r="554">
      <c r="B554" s="6" t="s">
        <v>1074</v>
      </c>
    </row>
    <row r="555">
      <c r="B555" s="6" t="s">
        <v>1088</v>
      </c>
    </row>
    <row r="556">
      <c r="B556" s="6" t="s">
        <v>1078</v>
      </c>
    </row>
    <row r="557">
      <c r="B557" s="6" t="s">
        <v>1074</v>
      </c>
    </row>
    <row r="558">
      <c r="B558" s="6" t="s">
        <v>1103</v>
      </c>
    </row>
    <row r="559">
      <c r="B559" s="6" t="s">
        <v>1098</v>
      </c>
    </row>
    <row r="560">
      <c r="B560" s="6" t="s">
        <v>1325</v>
      </c>
    </row>
    <row r="561">
      <c r="B561" s="6" t="s">
        <v>1539</v>
      </c>
    </row>
    <row r="562">
      <c r="B562" s="6" t="s">
        <v>1114</v>
      </c>
    </row>
    <row r="563">
      <c r="B563" s="6" t="s">
        <v>1101</v>
      </c>
    </row>
    <row r="564">
      <c r="B564" s="6" t="s">
        <v>1074</v>
      </c>
    </row>
    <row r="565">
      <c r="B565" s="6" t="s">
        <v>1098</v>
      </c>
    </row>
    <row r="566">
      <c r="B566" s="6" t="s">
        <v>1103</v>
      </c>
    </row>
    <row r="567">
      <c r="B567" s="6" t="s">
        <v>1083</v>
      </c>
    </row>
    <row r="568">
      <c r="B568" s="6" t="s">
        <v>1325</v>
      </c>
    </row>
    <row r="569">
      <c r="B569" s="6" t="s">
        <v>1547</v>
      </c>
    </row>
    <row r="570">
      <c r="B570" s="6" t="s">
        <v>1083</v>
      </c>
    </row>
    <row r="571">
      <c r="B571" s="6" t="s">
        <v>1548</v>
      </c>
    </row>
    <row r="572">
      <c r="B572" s="6" t="s">
        <v>1342</v>
      </c>
    </row>
    <row r="573">
      <c r="B573" s="6" t="s">
        <v>1114</v>
      </c>
    </row>
    <row r="574">
      <c r="B574" s="6" t="s">
        <v>1076</v>
      </c>
    </row>
    <row r="575">
      <c r="B575" s="6" t="s">
        <v>1550</v>
      </c>
    </row>
    <row r="576">
      <c r="B576" s="6" t="s">
        <v>1317</v>
      </c>
    </row>
    <row r="577">
      <c r="B577" s="6" t="s">
        <v>1074</v>
      </c>
    </row>
    <row r="578">
      <c r="B578" s="6" t="s">
        <v>1067</v>
      </c>
    </row>
    <row r="579">
      <c r="B579" s="6" t="s">
        <v>1099</v>
      </c>
    </row>
    <row r="580">
      <c r="B580" s="6" t="s">
        <v>1083</v>
      </c>
    </row>
    <row r="581">
      <c r="B581" s="6" t="s">
        <v>1551</v>
      </c>
    </row>
    <row r="582">
      <c r="B582" s="6" t="s">
        <v>1081</v>
      </c>
    </row>
    <row r="583">
      <c r="B583" s="6" t="s">
        <v>1092</v>
      </c>
    </row>
    <row r="584">
      <c r="B584" s="6" t="s">
        <v>1100</v>
      </c>
    </row>
    <row r="585">
      <c r="B585" s="6" t="s">
        <v>1092</v>
      </c>
    </row>
    <row r="586">
      <c r="B586" s="6" t="s">
        <v>1114</v>
      </c>
    </row>
    <row r="587">
      <c r="B587" s="6" t="s">
        <v>1100</v>
      </c>
      <c r="C587" s="6"/>
    </row>
    <row r="588">
      <c r="B588" s="6" t="s">
        <v>1140</v>
      </c>
      <c r="C588" s="6"/>
    </row>
    <row r="589">
      <c r="B589" s="6" t="s">
        <v>1101</v>
      </c>
      <c r="C589" s="6"/>
    </row>
    <row r="590">
      <c r="B590" s="6" t="s">
        <v>1542</v>
      </c>
      <c r="C590" s="6"/>
    </row>
    <row r="591">
      <c r="B591" s="6" t="s">
        <v>1083</v>
      </c>
      <c r="C591" s="6"/>
    </row>
    <row r="592">
      <c r="B592" s="6" t="s">
        <v>1067</v>
      </c>
      <c r="C592" s="6"/>
    </row>
    <row r="593">
      <c r="B593" s="6" t="s">
        <v>1317</v>
      </c>
      <c r="D593" s="6"/>
    </row>
    <row r="594">
      <c r="B594" s="6" t="s">
        <v>1077</v>
      </c>
      <c r="D594" s="6"/>
    </row>
    <row r="595">
      <c r="B595" s="6" t="s">
        <v>1083</v>
      </c>
      <c r="D595" s="6"/>
    </row>
    <row r="596">
      <c r="B596" s="6" t="s">
        <v>1114</v>
      </c>
      <c r="D596" s="6"/>
    </row>
    <row r="597">
      <c r="B597" s="6" t="s">
        <v>1076</v>
      </c>
      <c r="D597" s="6"/>
    </row>
    <row r="598">
      <c r="B598" s="6" t="s">
        <v>1134</v>
      </c>
      <c r="D598" s="6"/>
    </row>
    <row r="599">
      <c r="B599" s="6" t="s">
        <v>1103</v>
      </c>
      <c r="D599" s="6"/>
    </row>
    <row r="600">
      <c r="B600" s="6" t="s">
        <v>1336</v>
      </c>
      <c r="D600" s="6"/>
    </row>
    <row r="601">
      <c r="B601" s="6" t="s">
        <v>1103</v>
      </c>
      <c r="D601" s="6"/>
    </row>
    <row r="602">
      <c r="B602" s="6" t="s">
        <v>1099</v>
      </c>
      <c r="D602" s="6"/>
    </row>
    <row r="603">
      <c r="B603" s="6" t="s">
        <v>1101</v>
      </c>
      <c r="D603" s="6"/>
    </row>
    <row r="604">
      <c r="B604" s="6" t="s">
        <v>1555</v>
      </c>
      <c r="D604" s="6"/>
    </row>
    <row r="605">
      <c r="B605" s="6" t="s">
        <v>1082</v>
      </c>
      <c r="D605" s="6"/>
    </row>
    <row r="606">
      <c r="B606" s="6" t="s">
        <v>1114</v>
      </c>
      <c r="D606" s="6"/>
    </row>
    <row r="607">
      <c r="B607" s="6" t="s">
        <v>1092</v>
      </c>
      <c r="D607" s="6"/>
    </row>
    <row r="608">
      <c r="B608" s="6" t="s">
        <v>1556</v>
      </c>
      <c r="D608" s="6"/>
    </row>
    <row r="609">
      <c r="B609" s="6" t="s">
        <v>1558</v>
      </c>
      <c r="D609" s="6"/>
    </row>
    <row r="610">
      <c r="B610" s="6" t="s">
        <v>48</v>
      </c>
      <c r="D610" s="6"/>
    </row>
    <row r="611">
      <c r="B611" s="6" t="s">
        <v>1559</v>
      </c>
      <c r="D611" s="6"/>
    </row>
    <row r="612">
      <c r="B612" s="6" t="s">
        <v>1058</v>
      </c>
      <c r="D612" s="6"/>
    </row>
    <row r="613">
      <c r="C613" s="6" t="s">
        <v>1560</v>
      </c>
      <c r="D613" s="6"/>
    </row>
    <row r="614">
      <c r="C614" s="6" t="s">
        <v>1561</v>
      </c>
      <c r="D614" s="6"/>
    </row>
    <row r="615">
      <c r="C615" s="6" t="s">
        <v>1562</v>
      </c>
      <c r="D615" s="6"/>
    </row>
    <row r="616">
      <c r="C616" s="6" t="s">
        <v>1150</v>
      </c>
      <c r="D616" s="6"/>
    </row>
    <row r="617">
      <c r="C617" s="6" t="s">
        <v>1151</v>
      </c>
      <c r="D617" s="6"/>
    </row>
    <row r="618">
      <c r="C618" s="6" t="s">
        <v>1058</v>
      </c>
      <c r="D618" s="6"/>
    </row>
    <row r="619">
      <c r="D619" s="6" t="s">
        <v>1563</v>
      </c>
    </row>
    <row r="620">
      <c r="D620" s="6" t="s">
        <v>1564</v>
      </c>
    </row>
    <row r="621">
      <c r="D621" s="6" t="s">
        <v>1566</v>
      </c>
    </row>
    <row r="622">
      <c r="D622" s="6" t="s">
        <v>1567</v>
      </c>
    </row>
    <row r="623">
      <c r="D623" s="6" t="s">
        <v>1568</v>
      </c>
    </row>
    <row r="624">
      <c r="D624" s="6" t="s">
        <v>1569</v>
      </c>
    </row>
    <row r="625">
      <c r="D625" s="6" t="s">
        <v>1570</v>
      </c>
    </row>
    <row r="626">
      <c r="D626" s="6" t="s">
        <v>1571</v>
      </c>
    </row>
    <row r="627">
      <c r="D627" s="6" t="s">
        <v>1572</v>
      </c>
    </row>
    <row r="628">
      <c r="D628" s="6" t="s">
        <v>1575</v>
      </c>
    </row>
    <row r="629">
      <c r="D629" s="6" t="s">
        <v>1576</v>
      </c>
    </row>
    <row r="630">
      <c r="D630" s="6" t="s">
        <v>1577</v>
      </c>
    </row>
    <row r="631">
      <c r="D631" s="6" t="s">
        <v>1578</v>
      </c>
    </row>
    <row r="632">
      <c r="D632" s="6" t="s">
        <v>1579</v>
      </c>
    </row>
    <row r="633">
      <c r="D633" s="6" t="s">
        <v>1580</v>
      </c>
    </row>
    <row r="634">
      <c r="D634" s="6" t="s">
        <v>1582</v>
      </c>
    </row>
    <row r="635">
      <c r="D635" s="6" t="s">
        <v>1583</v>
      </c>
    </row>
    <row r="636">
      <c r="D636" s="6" t="s">
        <v>1584</v>
      </c>
    </row>
    <row r="637">
      <c r="D637" s="6" t="s">
        <v>1585</v>
      </c>
    </row>
    <row r="638">
      <c r="D638" s="6" t="s">
        <v>1586</v>
      </c>
    </row>
    <row r="639">
      <c r="D639" s="6" t="s">
        <v>1587</v>
      </c>
    </row>
    <row r="640">
      <c r="D640" s="6" t="s">
        <v>1588</v>
      </c>
    </row>
    <row r="641">
      <c r="D641" s="6" t="s">
        <v>1589</v>
      </c>
    </row>
    <row r="642">
      <c r="D642" s="6" t="s">
        <v>1590</v>
      </c>
    </row>
    <row r="643">
      <c r="D643" s="6" t="s">
        <v>1591</v>
      </c>
    </row>
    <row r="644">
      <c r="D644" s="6" t="s">
        <v>1592</v>
      </c>
    </row>
    <row r="645">
      <c r="D645" s="6" t="s">
        <v>1593</v>
      </c>
    </row>
    <row r="646">
      <c r="D646" s="6" t="s">
        <v>1594</v>
      </c>
    </row>
    <row r="647">
      <c r="D647" s="6" t="s">
        <v>1595</v>
      </c>
    </row>
    <row r="648">
      <c r="D648" s="6" t="s">
        <v>1596</v>
      </c>
    </row>
    <row r="649">
      <c r="D649" s="6" t="s">
        <v>1598</v>
      </c>
    </row>
    <row r="650">
      <c r="D650" s="6" t="s">
        <v>1600</v>
      </c>
    </row>
    <row r="651">
      <c r="D651" s="6" t="s">
        <v>1601</v>
      </c>
    </row>
    <row r="652">
      <c r="D652" s="6" t="s">
        <v>1602</v>
      </c>
    </row>
    <row r="653">
      <c r="D653" s="6" t="s">
        <v>1603</v>
      </c>
    </row>
    <row r="654">
      <c r="D654" s="6" t="s">
        <v>1604</v>
      </c>
    </row>
    <row r="655">
      <c r="D655" s="6" t="s">
        <v>1605</v>
      </c>
    </row>
    <row r="656">
      <c r="D656" s="6" t="s">
        <v>1606</v>
      </c>
    </row>
    <row r="657">
      <c r="D657" s="6" t="s">
        <v>1607</v>
      </c>
    </row>
    <row r="658">
      <c r="D658" s="6" t="s">
        <v>1608</v>
      </c>
    </row>
    <row r="659">
      <c r="D659" s="6" t="s">
        <v>1609</v>
      </c>
    </row>
    <row r="660">
      <c r="D660" s="6" t="s">
        <v>1610</v>
      </c>
    </row>
    <row r="661">
      <c r="D661" s="6" t="s">
        <v>1611</v>
      </c>
    </row>
    <row r="662">
      <c r="D662" s="6" t="s">
        <v>1612</v>
      </c>
    </row>
    <row r="663">
      <c r="D663" s="6" t="s">
        <v>1613</v>
      </c>
    </row>
    <row r="664">
      <c r="D664" s="6" t="s">
        <v>1614</v>
      </c>
    </row>
    <row r="665">
      <c r="D665" s="6" t="s">
        <v>1615</v>
      </c>
    </row>
    <row r="666">
      <c r="D666" s="6" t="s">
        <v>1616</v>
      </c>
    </row>
    <row r="667">
      <c r="D667" s="6" t="s">
        <v>1618</v>
      </c>
    </row>
    <row r="668">
      <c r="D668" s="6" t="s">
        <v>1620</v>
      </c>
    </row>
    <row r="669">
      <c r="D669" s="6" t="s">
        <v>1621</v>
      </c>
    </row>
    <row r="670">
      <c r="D670" s="6" t="s">
        <v>1622</v>
      </c>
    </row>
    <row r="671">
      <c r="D671" s="6" t="s">
        <v>1623</v>
      </c>
    </row>
    <row r="672">
      <c r="D672" s="6" t="s">
        <v>1624</v>
      </c>
    </row>
    <row r="673">
      <c r="D673" s="6" t="s">
        <v>1625</v>
      </c>
    </row>
    <row r="674">
      <c r="D674" s="6" t="s">
        <v>1626</v>
      </c>
    </row>
    <row r="675">
      <c r="D675" s="6" t="s">
        <v>1628</v>
      </c>
    </row>
    <row r="676">
      <c r="D676" s="6" t="s">
        <v>1630</v>
      </c>
    </row>
    <row r="677">
      <c r="D677" s="6" t="s">
        <v>1631</v>
      </c>
    </row>
    <row r="678">
      <c r="D678" s="6" t="s">
        <v>1632</v>
      </c>
    </row>
    <row r="679">
      <c r="D679" s="6" t="s">
        <v>1633</v>
      </c>
    </row>
    <row r="680">
      <c r="D680" s="6" t="s">
        <v>1634</v>
      </c>
    </row>
    <row r="681">
      <c r="D681" s="6" t="s">
        <v>1635</v>
      </c>
    </row>
    <row r="682">
      <c r="D682" s="6" t="s">
        <v>1636</v>
      </c>
    </row>
    <row r="683">
      <c r="C683" s="6"/>
      <c r="D683" s="6" t="s">
        <v>1638</v>
      </c>
    </row>
    <row r="684">
      <c r="B684" s="6"/>
      <c r="D684" s="6" t="s">
        <v>1640</v>
      </c>
    </row>
    <row r="685">
      <c r="D685" s="6" t="s">
        <v>1641</v>
      </c>
    </row>
    <row r="686">
      <c r="B686" s="6"/>
      <c r="D686" s="6" t="s">
        <v>1642</v>
      </c>
    </row>
    <row r="687">
      <c r="B687" s="6"/>
      <c r="D687" s="6" t="s">
        <v>1643</v>
      </c>
    </row>
    <row r="688">
      <c r="D688" s="6" t="s">
        <v>1644</v>
      </c>
    </row>
    <row r="689">
      <c r="B689" s="6"/>
      <c r="D689" s="6" t="s">
        <v>1645</v>
      </c>
    </row>
    <row r="690">
      <c r="B690" s="6"/>
      <c r="D690" s="6" t="s">
        <v>1646</v>
      </c>
    </row>
    <row r="691">
      <c r="B691" s="6"/>
      <c r="D691" s="6" t="s">
        <v>1647</v>
      </c>
    </row>
    <row r="692">
      <c r="B692" s="6"/>
      <c r="D692" s="6" t="s">
        <v>1649</v>
      </c>
    </row>
    <row r="693">
      <c r="B693" s="6"/>
      <c r="D693" s="6" t="s">
        <v>1651</v>
      </c>
    </row>
    <row r="694">
      <c r="B694" s="6"/>
      <c r="D694" s="6" t="s">
        <v>1652</v>
      </c>
    </row>
    <row r="695">
      <c r="B695" s="6"/>
      <c r="D695" s="6" t="s">
        <v>1653</v>
      </c>
    </row>
    <row r="696">
      <c r="B696" s="6"/>
      <c r="D696" s="6" t="s">
        <v>1654</v>
      </c>
    </row>
    <row r="697">
      <c r="B697" s="6"/>
      <c r="D697" s="6" t="s">
        <v>1655</v>
      </c>
    </row>
    <row r="698">
      <c r="B698" s="6"/>
      <c r="D698" s="6" t="s">
        <v>1656</v>
      </c>
    </row>
    <row r="699">
      <c r="B699" s="6"/>
      <c r="D699" s="6" t="s">
        <v>1657</v>
      </c>
    </row>
    <row r="700">
      <c r="B700" s="6"/>
      <c r="D700" s="6" t="s">
        <v>1658</v>
      </c>
    </row>
    <row r="701">
      <c r="B701" s="6"/>
      <c r="D701" s="6" t="s">
        <v>1660</v>
      </c>
    </row>
    <row r="702">
      <c r="B702" s="6"/>
      <c r="D702" s="6" t="s">
        <v>1662</v>
      </c>
    </row>
    <row r="703">
      <c r="B703" s="6"/>
      <c r="D703" s="6" t="s">
        <v>1663</v>
      </c>
    </row>
    <row r="704">
      <c r="B704" s="6"/>
      <c r="D704" s="6" t="s">
        <v>1664</v>
      </c>
    </row>
    <row r="705">
      <c r="B705" s="6"/>
      <c r="D705" s="6" t="s">
        <v>1665</v>
      </c>
    </row>
    <row r="706">
      <c r="B706" s="6"/>
      <c r="D706" s="6" t="s">
        <v>1666</v>
      </c>
    </row>
    <row r="707">
      <c r="B707" s="6"/>
      <c r="D707" s="6" t="s">
        <v>1667</v>
      </c>
    </row>
    <row r="708">
      <c r="B708" s="6"/>
      <c r="D708" s="6" t="s">
        <v>1668</v>
      </c>
    </row>
    <row r="709">
      <c r="B709" s="6"/>
      <c r="C709" s="6" t="s">
        <v>1310</v>
      </c>
    </row>
    <row r="710">
      <c r="B710" s="6" t="s">
        <v>1310</v>
      </c>
    </row>
    <row r="711">
      <c r="B711" s="6"/>
    </row>
    <row r="712">
      <c r="B712" s="6" t="s">
        <v>1060</v>
      </c>
    </row>
    <row r="713">
      <c r="B713" s="6" t="s">
        <v>1062</v>
      </c>
    </row>
    <row r="714">
      <c r="B714" s="6"/>
    </row>
    <row r="715">
      <c r="B715" s="6" t="s">
        <v>1114</v>
      </c>
    </row>
    <row r="716">
      <c r="B716" s="6" t="s">
        <v>1067</v>
      </c>
    </row>
    <row r="717">
      <c r="B717" s="6" t="s">
        <v>1671</v>
      </c>
    </row>
    <row r="718">
      <c r="B718" s="6" t="s">
        <v>1672</v>
      </c>
    </row>
    <row r="719">
      <c r="B719" s="6" t="s">
        <v>1672</v>
      </c>
    </row>
    <row r="720">
      <c r="B720" s="6" t="s">
        <v>1673</v>
      </c>
    </row>
    <row r="721">
      <c r="B721" s="6" t="s">
        <v>1083</v>
      </c>
    </row>
    <row r="722">
      <c r="B722" s="6" t="s">
        <v>1673</v>
      </c>
    </row>
    <row r="723">
      <c r="B723" s="6" t="s">
        <v>1114</v>
      </c>
    </row>
    <row r="724">
      <c r="B724" s="6" t="s">
        <v>1676</v>
      </c>
    </row>
    <row r="725">
      <c r="B725" s="6" t="s">
        <v>1677</v>
      </c>
    </row>
    <row r="726">
      <c r="B726" s="6" t="s">
        <v>1114</v>
      </c>
    </row>
    <row r="727">
      <c r="B727" s="6" t="s">
        <v>1083</v>
      </c>
    </row>
    <row r="728">
      <c r="B728" s="6" t="s">
        <v>1114</v>
      </c>
    </row>
    <row r="729">
      <c r="B729" s="6" t="s">
        <v>1067</v>
      </c>
    </row>
    <row r="730">
      <c r="B730" s="6" t="s">
        <v>1676</v>
      </c>
    </row>
    <row r="731">
      <c r="B731" s="6" t="s">
        <v>1672</v>
      </c>
    </row>
    <row r="732">
      <c r="B732" s="6" t="s">
        <v>1678</v>
      </c>
    </row>
    <row r="733">
      <c r="B733" s="6" t="s">
        <v>1114</v>
      </c>
    </row>
    <row r="734">
      <c r="B734" s="6" t="s">
        <v>1678</v>
      </c>
    </row>
    <row r="735">
      <c r="B735" s="6" t="s">
        <v>1680</v>
      </c>
    </row>
    <row r="736">
      <c r="B736" s="6" t="s">
        <v>1682</v>
      </c>
    </row>
    <row r="737">
      <c r="B737" s="6" t="s">
        <v>1683</v>
      </c>
    </row>
    <row r="738">
      <c r="B738" s="6" t="s">
        <v>1684</v>
      </c>
    </row>
    <row r="739">
      <c r="B739" s="6" t="s">
        <v>1685</v>
      </c>
    </row>
    <row r="740">
      <c r="B740" s="6" t="s">
        <v>1680</v>
      </c>
    </row>
    <row r="741">
      <c r="B741" s="6" t="s">
        <v>1682</v>
      </c>
    </row>
    <row r="742">
      <c r="B742" s="6" t="s">
        <v>1083</v>
      </c>
    </row>
    <row r="743">
      <c r="B743" s="6" t="s">
        <v>1067</v>
      </c>
    </row>
    <row r="744">
      <c r="B744" s="6" t="s">
        <v>1067</v>
      </c>
    </row>
    <row r="745">
      <c r="B745" s="6" t="s">
        <v>1067</v>
      </c>
    </row>
    <row r="746">
      <c r="B746" s="6" t="s">
        <v>1114</v>
      </c>
    </row>
    <row r="747">
      <c r="B747" s="6" t="s">
        <v>1686</v>
      </c>
    </row>
    <row r="748">
      <c r="B748" s="6" t="s">
        <v>1678</v>
      </c>
    </row>
    <row r="749">
      <c r="B749" s="6" t="s">
        <v>1114</v>
      </c>
    </row>
    <row r="750">
      <c r="B750" s="6" t="s">
        <v>1114</v>
      </c>
    </row>
    <row r="751">
      <c r="B751" s="6" t="s">
        <v>1672</v>
      </c>
    </row>
    <row r="752">
      <c r="B752" s="6" t="s">
        <v>1672</v>
      </c>
    </row>
    <row r="753">
      <c r="B753" s="6" t="s">
        <v>1067</v>
      </c>
    </row>
    <row r="754">
      <c r="B754" s="6" t="s">
        <v>1678</v>
      </c>
    </row>
    <row r="755">
      <c r="B755" s="6" t="s">
        <v>1683</v>
      </c>
    </row>
    <row r="756">
      <c r="B756" s="6" t="s">
        <v>1673</v>
      </c>
    </row>
    <row r="757">
      <c r="B757" s="6" t="s">
        <v>1083</v>
      </c>
    </row>
    <row r="758">
      <c r="B758" s="6" t="s">
        <v>1672</v>
      </c>
    </row>
    <row r="759">
      <c r="B759" s="6" t="s">
        <v>1083</v>
      </c>
    </row>
    <row r="760">
      <c r="B760" s="6" t="s">
        <v>1673</v>
      </c>
    </row>
    <row r="761">
      <c r="B761" s="6" t="s">
        <v>1671</v>
      </c>
    </row>
    <row r="762">
      <c r="B762" s="6" t="s">
        <v>1083</v>
      </c>
    </row>
    <row r="763">
      <c r="B763" s="6" t="s">
        <v>1083</v>
      </c>
    </row>
    <row r="764">
      <c r="B764" s="6" t="s">
        <v>1690</v>
      </c>
    </row>
    <row r="765">
      <c r="B765" s="6" t="s">
        <v>1684</v>
      </c>
    </row>
    <row r="766">
      <c r="B766" s="6" t="s">
        <v>1686</v>
      </c>
    </row>
    <row r="767">
      <c r="B767" s="6" t="s">
        <v>1067</v>
      </c>
    </row>
    <row r="768">
      <c r="B768" s="6" t="s">
        <v>1083</v>
      </c>
    </row>
    <row r="769">
      <c r="B769" s="6" t="s">
        <v>1083</v>
      </c>
    </row>
    <row r="770">
      <c r="B770" s="6" t="s">
        <v>1690</v>
      </c>
    </row>
    <row r="771">
      <c r="B771" s="6" t="s">
        <v>1083</v>
      </c>
    </row>
    <row r="772">
      <c r="B772" s="6" t="s">
        <v>1114</v>
      </c>
    </row>
    <row r="773">
      <c r="B773" s="6" t="s">
        <v>1684</v>
      </c>
    </row>
    <row r="774">
      <c r="B774" s="6" t="s">
        <v>1680</v>
      </c>
    </row>
    <row r="775">
      <c r="B775" s="6" t="s">
        <v>1067</v>
      </c>
    </row>
    <row r="776">
      <c r="B776" s="6" t="s">
        <v>1678</v>
      </c>
    </row>
    <row r="777">
      <c r="B777" s="6" t="s">
        <v>1672</v>
      </c>
    </row>
    <row r="778">
      <c r="B778" s="6" t="s">
        <v>1067</v>
      </c>
    </row>
    <row r="779">
      <c r="B779" s="6" t="s">
        <v>1684</v>
      </c>
    </row>
    <row r="780">
      <c r="B780" s="6" t="s">
        <v>1684</v>
      </c>
    </row>
    <row r="781">
      <c r="B781" s="6" t="s">
        <v>1083</v>
      </c>
    </row>
    <row r="782">
      <c r="B782" s="6" t="s">
        <v>1083</v>
      </c>
    </row>
    <row r="783">
      <c r="B783" s="6" t="s">
        <v>1067</v>
      </c>
    </row>
    <row r="784">
      <c r="B784" s="6" t="s">
        <v>1696</v>
      </c>
    </row>
    <row r="785">
      <c r="B785" s="6" t="s">
        <v>1114</v>
      </c>
    </row>
    <row r="786">
      <c r="B786" s="6" t="s">
        <v>1697</v>
      </c>
    </row>
    <row r="787">
      <c r="B787" s="6" t="s">
        <v>1698</v>
      </c>
    </row>
    <row r="788">
      <c r="B788" s="6" t="s">
        <v>1114</v>
      </c>
    </row>
    <row r="789">
      <c r="B789" s="6" t="s">
        <v>1114</v>
      </c>
    </row>
    <row r="790">
      <c r="B790" s="6" t="s">
        <v>1114</v>
      </c>
    </row>
    <row r="791">
      <c r="B791" s="6" t="s">
        <v>1067</v>
      </c>
    </row>
    <row r="792">
      <c r="B792" s="6" t="s">
        <v>1114</v>
      </c>
      <c r="C792" s="6"/>
    </row>
    <row r="793">
      <c r="B793" s="6" t="s">
        <v>1083</v>
      </c>
      <c r="C793" s="6"/>
    </row>
    <row r="794">
      <c r="B794" s="6" t="s">
        <v>1083</v>
      </c>
      <c r="C794" s="6"/>
    </row>
    <row r="795">
      <c r="B795" s="6" t="s">
        <v>1678</v>
      </c>
      <c r="C795" s="6"/>
    </row>
    <row r="796">
      <c r="B796" s="6" t="s">
        <v>1114</v>
      </c>
      <c r="C796" s="6"/>
    </row>
    <row r="797">
      <c r="B797" s="6" t="s">
        <v>1067</v>
      </c>
      <c r="C797" s="6"/>
    </row>
    <row r="798">
      <c r="B798" s="6" t="s">
        <v>1083</v>
      </c>
      <c r="D798" s="6"/>
    </row>
    <row r="799">
      <c r="B799" s="6" t="s">
        <v>1672</v>
      </c>
      <c r="D799" s="6"/>
    </row>
    <row r="800">
      <c r="B800" s="6" t="s">
        <v>1114</v>
      </c>
      <c r="D800" s="6"/>
    </row>
    <row r="801">
      <c r="B801" s="6" t="s">
        <v>1067</v>
      </c>
      <c r="D801" s="6"/>
    </row>
    <row r="802">
      <c r="B802" s="6" t="s">
        <v>1684</v>
      </c>
      <c r="D802" s="6"/>
    </row>
    <row r="803">
      <c r="B803" s="6" t="s">
        <v>1683</v>
      </c>
      <c r="D803" s="6"/>
    </row>
    <row r="804">
      <c r="B804" s="6" t="s">
        <v>1083</v>
      </c>
      <c r="D804" s="6"/>
    </row>
    <row r="805">
      <c r="B805" s="6" t="s">
        <v>1677</v>
      </c>
      <c r="D805" s="6"/>
    </row>
    <row r="806">
      <c r="B806" s="6" t="s">
        <v>1083</v>
      </c>
      <c r="D806" s="6"/>
    </row>
    <row r="807">
      <c r="B807" s="6" t="s">
        <v>1686</v>
      </c>
      <c r="D807" s="6"/>
    </row>
    <row r="808">
      <c r="B808" s="6" t="s">
        <v>1083</v>
      </c>
      <c r="D808" s="6"/>
    </row>
    <row r="809">
      <c r="B809" s="6" t="s">
        <v>1685</v>
      </c>
      <c r="D809" s="6"/>
    </row>
    <row r="810">
      <c r="B810" s="6" t="s">
        <v>1680</v>
      </c>
      <c r="D810" s="6"/>
    </row>
    <row r="811">
      <c r="B811" s="6" t="s">
        <v>1067</v>
      </c>
      <c r="D811" s="6"/>
    </row>
    <row r="812">
      <c r="B812" s="6" t="s">
        <v>1114</v>
      </c>
      <c r="D812" s="6"/>
    </row>
    <row r="813">
      <c r="B813" s="6" t="s">
        <v>1703</v>
      </c>
      <c r="D813" s="6"/>
    </row>
    <row r="814">
      <c r="B814" s="6" t="s">
        <v>1683</v>
      </c>
      <c r="D814" s="6"/>
    </row>
    <row r="815">
      <c r="B815" s="6" t="s">
        <v>48</v>
      </c>
      <c r="D815" s="6"/>
    </row>
    <row r="816">
      <c r="B816" s="6" t="s">
        <v>1705</v>
      </c>
      <c r="D816" s="6"/>
    </row>
    <row r="817">
      <c r="B817" s="6" t="s">
        <v>1058</v>
      </c>
      <c r="D817" s="6"/>
    </row>
    <row r="818">
      <c r="C818" s="6" t="s">
        <v>1707</v>
      </c>
      <c r="D818" s="6"/>
    </row>
    <row r="819">
      <c r="C819" s="6" t="s">
        <v>1708</v>
      </c>
    </row>
    <row r="820">
      <c r="B820" s="6"/>
      <c r="C820" s="6" t="s">
        <v>1709</v>
      </c>
    </row>
    <row r="821">
      <c r="C821" s="6" t="s">
        <v>1710</v>
      </c>
    </row>
    <row r="822">
      <c r="B822" s="6"/>
      <c r="C822" s="6" t="s">
        <v>1151</v>
      </c>
    </row>
    <row r="823">
      <c r="B823" s="6"/>
      <c r="C823" s="6" t="s">
        <v>1058</v>
      </c>
    </row>
    <row r="824">
      <c r="D824" s="6" t="s">
        <v>1711</v>
      </c>
    </row>
    <row r="825">
      <c r="B825" s="6"/>
      <c r="D825" s="6" t="s">
        <v>1713</v>
      </c>
    </row>
    <row r="826">
      <c r="B826" s="6"/>
      <c r="D826" s="6" t="s">
        <v>1714</v>
      </c>
    </row>
    <row r="827">
      <c r="B827" s="6"/>
      <c r="D827" s="6" t="s">
        <v>1715</v>
      </c>
    </row>
    <row r="828">
      <c r="B828" s="6"/>
      <c r="D828" s="6" t="s">
        <v>1718</v>
      </c>
    </row>
    <row r="829">
      <c r="B829" s="6"/>
      <c r="D829" s="6" t="s">
        <v>1719</v>
      </c>
    </row>
    <row r="830">
      <c r="B830" s="6"/>
      <c r="D830" s="6" t="s">
        <v>1720</v>
      </c>
    </row>
    <row r="831">
      <c r="B831" s="6"/>
      <c r="D831" s="6" t="s">
        <v>1721</v>
      </c>
    </row>
    <row r="832">
      <c r="B832" s="6"/>
      <c r="D832" s="6" t="s">
        <v>1723</v>
      </c>
    </row>
    <row r="833">
      <c r="B833" s="6"/>
      <c r="D833" s="6" t="s">
        <v>1724</v>
      </c>
    </row>
    <row r="834">
      <c r="B834" s="6"/>
      <c r="D834" s="6" t="s">
        <v>1725</v>
      </c>
    </row>
    <row r="835">
      <c r="B835" s="6"/>
      <c r="D835" s="6" t="s">
        <v>1726</v>
      </c>
    </row>
    <row r="836">
      <c r="B836" s="6"/>
      <c r="D836" s="6" t="s">
        <v>1728</v>
      </c>
    </row>
    <row r="837">
      <c r="B837" s="6"/>
      <c r="D837" s="6" t="s">
        <v>1729</v>
      </c>
    </row>
    <row r="838">
      <c r="B838" s="6"/>
      <c r="D838" s="6" t="s">
        <v>1730</v>
      </c>
    </row>
    <row r="839">
      <c r="B839" s="6"/>
      <c r="D839" s="6" t="s">
        <v>1731</v>
      </c>
    </row>
    <row r="840">
      <c r="B840" s="6"/>
      <c r="D840" s="6" t="s">
        <v>1732</v>
      </c>
    </row>
    <row r="841">
      <c r="B841" s="6"/>
      <c r="D841" s="6" t="s">
        <v>1733</v>
      </c>
    </row>
    <row r="842">
      <c r="B842" s="6"/>
      <c r="D842" s="6" t="s">
        <v>1734</v>
      </c>
    </row>
    <row r="843">
      <c r="B843" s="6"/>
      <c r="D843" s="6" t="s">
        <v>1735</v>
      </c>
    </row>
    <row r="844">
      <c r="B844" s="6"/>
      <c r="D844" s="6" t="s">
        <v>1736</v>
      </c>
    </row>
    <row r="845">
      <c r="B845" s="6"/>
      <c r="D845" s="6" t="s">
        <v>1738</v>
      </c>
    </row>
    <row r="846">
      <c r="B846" s="6"/>
      <c r="C846" s="6" t="s">
        <v>1310</v>
      </c>
    </row>
    <row r="847">
      <c r="B847" s="6" t="s">
        <v>1310</v>
      </c>
    </row>
    <row r="848">
      <c r="B848" s="6"/>
    </row>
    <row r="849">
      <c r="B849" s="6" t="s">
        <v>1060</v>
      </c>
    </row>
    <row r="850">
      <c r="B850" s="6" t="s">
        <v>1062</v>
      </c>
    </row>
    <row r="851">
      <c r="B851" s="6"/>
    </row>
    <row r="852">
      <c r="B852" s="6" t="s">
        <v>1067</v>
      </c>
    </row>
    <row r="853">
      <c r="B853" s="6" t="s">
        <v>1114</v>
      </c>
    </row>
    <row r="854">
      <c r="B854" s="6" t="s">
        <v>1671</v>
      </c>
    </row>
    <row r="855">
      <c r="B855" s="6" t="s">
        <v>1672</v>
      </c>
    </row>
    <row r="856">
      <c r="B856" s="6" t="s">
        <v>1672</v>
      </c>
    </row>
    <row r="857">
      <c r="B857" s="6" t="s">
        <v>1673</v>
      </c>
    </row>
    <row r="858">
      <c r="B858" s="6" t="s">
        <v>1083</v>
      </c>
    </row>
    <row r="859">
      <c r="B859" s="6" t="s">
        <v>1673</v>
      </c>
    </row>
    <row r="860">
      <c r="B860" s="6" t="s">
        <v>1067</v>
      </c>
    </row>
    <row r="861">
      <c r="B861" s="6" t="s">
        <v>1676</v>
      </c>
    </row>
    <row r="862">
      <c r="B862" s="6" t="s">
        <v>1677</v>
      </c>
    </row>
    <row r="863">
      <c r="B863" s="6" t="s">
        <v>1067</v>
      </c>
    </row>
    <row r="864">
      <c r="B864" s="6" t="s">
        <v>1083</v>
      </c>
    </row>
    <row r="865">
      <c r="B865" s="6" t="s">
        <v>1083</v>
      </c>
    </row>
    <row r="866">
      <c r="B866" s="6" t="s">
        <v>1114</v>
      </c>
    </row>
    <row r="867">
      <c r="B867" s="6" t="s">
        <v>1683</v>
      </c>
    </row>
    <row r="868">
      <c r="B868" s="6" t="s">
        <v>1673</v>
      </c>
    </row>
    <row r="869">
      <c r="B869" s="6" t="s">
        <v>1742</v>
      </c>
    </row>
    <row r="870">
      <c r="B870" s="6" t="s">
        <v>1067</v>
      </c>
    </row>
    <row r="871">
      <c r="B871" s="6" t="s">
        <v>1698</v>
      </c>
    </row>
    <row r="872">
      <c r="B872" s="6" t="s">
        <v>1671</v>
      </c>
    </row>
    <row r="873">
      <c r="B873" s="6" t="s">
        <v>1682</v>
      </c>
    </row>
    <row r="874">
      <c r="B874" s="6" t="s">
        <v>1680</v>
      </c>
    </row>
    <row r="875">
      <c r="B875" s="6" t="s">
        <v>1684</v>
      </c>
    </row>
    <row r="876">
      <c r="B876" s="6" t="s">
        <v>1678</v>
      </c>
    </row>
    <row r="877">
      <c r="B877" s="6" t="s">
        <v>1671</v>
      </c>
    </row>
    <row r="878">
      <c r="B878" s="6" t="s">
        <v>1682</v>
      </c>
    </row>
    <row r="879">
      <c r="B879" s="6" t="s">
        <v>1083</v>
      </c>
    </row>
    <row r="880">
      <c r="B880" s="6" t="s">
        <v>1114</v>
      </c>
    </row>
    <row r="881">
      <c r="B881" s="6" t="s">
        <v>1114</v>
      </c>
    </row>
    <row r="882">
      <c r="B882" s="6" t="s">
        <v>1114</v>
      </c>
    </row>
    <row r="883">
      <c r="B883" s="6" t="s">
        <v>1067</v>
      </c>
    </row>
    <row r="884">
      <c r="B884" s="6" t="s">
        <v>1685</v>
      </c>
    </row>
    <row r="885">
      <c r="B885" s="6" t="s">
        <v>1742</v>
      </c>
    </row>
    <row r="886">
      <c r="B886" s="6" t="s">
        <v>1067</v>
      </c>
    </row>
    <row r="887">
      <c r="B887" s="6" t="s">
        <v>1067</v>
      </c>
    </row>
    <row r="888">
      <c r="B888" s="6" t="s">
        <v>1672</v>
      </c>
    </row>
    <row r="889">
      <c r="B889" s="6" t="s">
        <v>1673</v>
      </c>
    </row>
    <row r="890">
      <c r="B890" s="6" t="s">
        <v>1114</v>
      </c>
    </row>
    <row r="891">
      <c r="B891" s="6" t="s">
        <v>1742</v>
      </c>
    </row>
    <row r="892">
      <c r="B892" s="6" t="s">
        <v>1680</v>
      </c>
    </row>
    <row r="893">
      <c r="B893" s="6" t="s">
        <v>1673</v>
      </c>
    </row>
    <row r="894">
      <c r="B894" s="6" t="s">
        <v>1083</v>
      </c>
    </row>
    <row r="895">
      <c r="B895" s="6" t="s">
        <v>1672</v>
      </c>
    </row>
    <row r="896">
      <c r="B896" s="6" t="s">
        <v>1083</v>
      </c>
    </row>
    <row r="897">
      <c r="B897" s="6" t="s">
        <v>1673</v>
      </c>
    </row>
    <row r="898">
      <c r="B898" s="6" t="s">
        <v>1671</v>
      </c>
    </row>
    <row r="899">
      <c r="B899" s="6" t="s">
        <v>1083</v>
      </c>
    </row>
    <row r="900">
      <c r="B900" s="6" t="s">
        <v>1083</v>
      </c>
    </row>
    <row r="901">
      <c r="B901" s="6" t="s">
        <v>1690</v>
      </c>
    </row>
    <row r="902">
      <c r="B902" s="6" t="s">
        <v>1684</v>
      </c>
    </row>
    <row r="903">
      <c r="B903" s="6" t="s">
        <v>1685</v>
      </c>
    </row>
    <row r="904">
      <c r="B904" s="6" t="s">
        <v>1114</v>
      </c>
    </row>
    <row r="905">
      <c r="B905" s="6" t="s">
        <v>1083</v>
      </c>
    </row>
    <row r="906">
      <c r="B906" s="6" t="s">
        <v>1083</v>
      </c>
    </row>
    <row r="907">
      <c r="B907" s="6" t="s">
        <v>1690</v>
      </c>
    </row>
    <row r="908">
      <c r="B908" s="6" t="s">
        <v>1083</v>
      </c>
    </row>
    <row r="909">
      <c r="B909" s="6" t="s">
        <v>1067</v>
      </c>
    </row>
    <row r="910">
      <c r="B910" s="6" t="s">
        <v>1684</v>
      </c>
    </row>
    <row r="911">
      <c r="B911" s="6" t="s">
        <v>1680</v>
      </c>
    </row>
    <row r="912">
      <c r="B912" s="6" t="s">
        <v>1114</v>
      </c>
    </row>
    <row r="913">
      <c r="B913" s="6" t="s">
        <v>1698</v>
      </c>
    </row>
    <row r="914">
      <c r="B914" s="6" t="s">
        <v>1672</v>
      </c>
    </row>
    <row r="915">
      <c r="B915" s="6" t="s">
        <v>1114</v>
      </c>
    </row>
    <row r="916">
      <c r="B916" s="6" t="s">
        <v>1684</v>
      </c>
    </row>
    <row r="917">
      <c r="B917" s="6" t="s">
        <v>1684</v>
      </c>
    </row>
    <row r="918">
      <c r="B918" s="6" t="s">
        <v>1083</v>
      </c>
    </row>
    <row r="919">
      <c r="B919" s="6" t="s">
        <v>1083</v>
      </c>
    </row>
    <row r="920">
      <c r="B920" s="6" t="s">
        <v>1114</v>
      </c>
    </row>
    <row r="921">
      <c r="B921" s="6" t="s">
        <v>1685</v>
      </c>
    </row>
    <row r="922">
      <c r="B922" s="6" t="s">
        <v>1067</v>
      </c>
    </row>
    <row r="923">
      <c r="B923" s="6" t="s">
        <v>1754</v>
      </c>
    </row>
    <row r="924">
      <c r="B924" s="6" t="s">
        <v>1696</v>
      </c>
    </row>
    <row r="925">
      <c r="B925" s="6" t="s">
        <v>1067</v>
      </c>
    </row>
    <row r="926">
      <c r="B926" s="6" t="s">
        <v>1067</v>
      </c>
    </row>
    <row r="927">
      <c r="B927" s="6" t="s">
        <v>1067</v>
      </c>
    </row>
    <row r="928">
      <c r="B928" s="6" t="s">
        <v>1114</v>
      </c>
      <c r="C928" s="6"/>
    </row>
    <row r="929">
      <c r="B929" s="6" t="s">
        <v>1067</v>
      </c>
      <c r="C929" s="6"/>
    </row>
    <row r="930">
      <c r="B930" s="6" t="s">
        <v>1083</v>
      </c>
      <c r="C930" s="6"/>
    </row>
    <row r="931">
      <c r="B931" s="6" t="s">
        <v>1083</v>
      </c>
      <c r="C931" s="6"/>
    </row>
    <row r="932">
      <c r="B932" s="6" t="s">
        <v>1742</v>
      </c>
      <c r="C932" s="6"/>
    </row>
    <row r="933">
      <c r="B933" s="6" t="s">
        <v>1067</v>
      </c>
      <c r="C933" s="6"/>
    </row>
    <row r="934">
      <c r="B934" s="6" t="s">
        <v>1114</v>
      </c>
      <c r="D934" s="6"/>
    </row>
    <row r="935">
      <c r="B935" s="6" t="s">
        <v>1083</v>
      </c>
      <c r="D935" s="6"/>
    </row>
    <row r="936">
      <c r="B936" s="6" t="s">
        <v>1672</v>
      </c>
      <c r="D936" s="6"/>
    </row>
    <row r="937">
      <c r="B937" s="6" t="s">
        <v>1067</v>
      </c>
      <c r="D937" s="6"/>
    </row>
    <row r="938">
      <c r="B938" s="6" t="s">
        <v>1114</v>
      </c>
      <c r="D938" s="6"/>
    </row>
    <row r="939">
      <c r="B939" s="6" t="s">
        <v>1684</v>
      </c>
      <c r="D939" s="6"/>
    </row>
    <row r="940">
      <c r="B940" s="6" t="s">
        <v>1683</v>
      </c>
      <c r="D940" s="6"/>
    </row>
    <row r="941">
      <c r="B941" s="6" t="s">
        <v>1083</v>
      </c>
      <c r="D941" s="6"/>
    </row>
    <row r="942">
      <c r="B942" s="6" t="s">
        <v>1690</v>
      </c>
      <c r="D942" s="6"/>
    </row>
    <row r="943">
      <c r="B943" s="6" t="s">
        <v>1083</v>
      </c>
      <c r="D943" s="6"/>
    </row>
    <row r="944">
      <c r="B944" s="6" t="s">
        <v>1685</v>
      </c>
      <c r="D944" s="6"/>
    </row>
    <row r="945">
      <c r="B945" s="6" t="s">
        <v>1083</v>
      </c>
      <c r="D945" s="6"/>
    </row>
    <row r="946">
      <c r="B946" s="6" t="s">
        <v>1703</v>
      </c>
      <c r="D946" s="6"/>
    </row>
    <row r="947">
      <c r="B947" s="6" t="s">
        <v>1671</v>
      </c>
      <c r="D947" s="6"/>
    </row>
    <row r="948">
      <c r="B948" s="6" t="s">
        <v>1114</v>
      </c>
      <c r="D948" s="6"/>
    </row>
    <row r="949">
      <c r="B949" s="6" t="s">
        <v>1067</v>
      </c>
      <c r="D949" s="6"/>
    </row>
    <row r="950">
      <c r="B950" s="6" t="s">
        <v>1703</v>
      </c>
      <c r="D950" s="6"/>
    </row>
    <row r="951">
      <c r="B951" s="6" t="s">
        <v>1683</v>
      </c>
      <c r="D951" s="6"/>
    </row>
    <row r="952">
      <c r="B952" s="6" t="s">
        <v>48</v>
      </c>
      <c r="D952" s="6"/>
    </row>
    <row r="953">
      <c r="B953" s="6" t="s">
        <v>1763</v>
      </c>
      <c r="D953" s="6"/>
    </row>
    <row r="954">
      <c r="B954" s="6" t="s">
        <v>1058</v>
      </c>
      <c r="D954" s="6"/>
    </row>
    <row r="955">
      <c r="C955" s="6" t="s">
        <v>1764</v>
      </c>
      <c r="D955" s="6"/>
    </row>
    <row r="956">
      <c r="C956" s="6" t="s">
        <v>1765</v>
      </c>
      <c r="D956" s="6"/>
    </row>
    <row r="957">
      <c r="C957" s="6" t="s">
        <v>1767</v>
      </c>
      <c r="D957" s="6"/>
    </row>
    <row r="958">
      <c r="C958" s="6" t="s">
        <v>1710</v>
      </c>
      <c r="D958" s="6"/>
    </row>
    <row r="959">
      <c r="C959" s="6" t="s">
        <v>1151</v>
      </c>
      <c r="D959" s="6"/>
    </row>
    <row r="960">
      <c r="C960" s="6" t="s">
        <v>1058</v>
      </c>
      <c r="D960" s="6"/>
    </row>
    <row r="961">
      <c r="D961" s="6" t="s">
        <v>1769</v>
      </c>
    </row>
    <row r="962">
      <c r="D962" s="6" t="s">
        <v>1770</v>
      </c>
    </row>
    <row r="963">
      <c r="D963" s="6" t="s">
        <v>1771</v>
      </c>
    </row>
    <row r="964">
      <c r="D964" s="6" t="s">
        <v>1773</v>
      </c>
    </row>
    <row r="965">
      <c r="D965" s="6" t="s">
        <v>1775</v>
      </c>
    </row>
    <row r="966">
      <c r="C966" s="6"/>
      <c r="D966" s="6" t="s">
        <v>1776</v>
      </c>
    </row>
    <row r="967">
      <c r="B967" s="6"/>
      <c r="D967" s="6" t="s">
        <v>1777</v>
      </c>
    </row>
    <row r="968">
      <c r="D968" s="6" t="s">
        <v>1778</v>
      </c>
    </row>
    <row r="969">
      <c r="B969" s="6"/>
      <c r="D969" s="6" t="s">
        <v>1779</v>
      </c>
    </row>
    <row r="970">
      <c r="B970" s="6"/>
      <c r="D970" s="6" t="s">
        <v>1780</v>
      </c>
    </row>
    <row r="971">
      <c r="D971" s="6" t="s">
        <v>1781</v>
      </c>
    </row>
    <row r="972">
      <c r="B972" s="6"/>
      <c r="D972" s="6" t="s">
        <v>1783</v>
      </c>
    </row>
    <row r="973">
      <c r="B973" s="6"/>
      <c r="D973" s="6" t="s">
        <v>1785</v>
      </c>
    </row>
    <row r="974">
      <c r="B974" s="6"/>
      <c r="D974" s="6" t="s">
        <v>1786</v>
      </c>
    </row>
    <row r="975">
      <c r="B975" s="6"/>
      <c r="D975" s="6" t="s">
        <v>1787</v>
      </c>
    </row>
    <row r="976">
      <c r="B976" s="6"/>
      <c r="D976" s="6" t="s">
        <v>1790</v>
      </c>
    </row>
    <row r="977">
      <c r="B977" s="6"/>
      <c r="D977" s="6" t="s">
        <v>1791</v>
      </c>
    </row>
    <row r="978">
      <c r="B978" s="6"/>
      <c r="D978" s="6" t="s">
        <v>1792</v>
      </c>
    </row>
    <row r="979">
      <c r="B979" s="6"/>
      <c r="D979" s="6" t="s">
        <v>1793</v>
      </c>
    </row>
    <row r="980">
      <c r="B980" s="6"/>
      <c r="D980" s="6" t="s">
        <v>1794</v>
      </c>
    </row>
    <row r="981">
      <c r="B981" s="6"/>
      <c r="D981" s="6" t="s">
        <v>1797</v>
      </c>
    </row>
    <row r="982">
      <c r="B982" s="6"/>
      <c r="D982" s="6" t="s">
        <v>1798</v>
      </c>
    </row>
    <row r="983">
      <c r="B983" s="6"/>
      <c r="D983" s="6" t="s">
        <v>1799</v>
      </c>
    </row>
    <row r="984">
      <c r="B984" s="6"/>
      <c r="D984" s="6" t="s">
        <v>1800</v>
      </c>
    </row>
    <row r="985">
      <c r="B985" s="6"/>
      <c r="D985" s="6" t="s">
        <v>1803</v>
      </c>
    </row>
    <row r="986">
      <c r="B986" s="6"/>
      <c r="D986" s="6" t="s">
        <v>1804</v>
      </c>
    </row>
    <row r="987">
      <c r="B987" s="6"/>
      <c r="D987" s="6" t="s">
        <v>1805</v>
      </c>
    </row>
    <row r="988">
      <c r="B988" s="6"/>
      <c r="D988" s="6" t="s">
        <v>1807</v>
      </c>
    </row>
    <row r="989">
      <c r="B989" s="6"/>
      <c r="D989" s="6" t="s">
        <v>1809</v>
      </c>
    </row>
    <row r="990">
      <c r="B990" s="6"/>
      <c r="D990" s="6" t="s">
        <v>1810</v>
      </c>
    </row>
    <row r="991">
      <c r="B991" s="6"/>
      <c r="D991" s="6" t="s">
        <v>1811</v>
      </c>
    </row>
    <row r="992">
      <c r="B992" s="6"/>
      <c r="D992" s="6" t="s">
        <v>1813</v>
      </c>
    </row>
    <row r="993">
      <c r="B993" s="6"/>
      <c r="D993" s="6" t="s">
        <v>1815</v>
      </c>
    </row>
    <row r="994">
      <c r="B994" s="6"/>
      <c r="C994" s="6" t="s">
        <v>1310</v>
      </c>
    </row>
    <row r="995">
      <c r="B995" s="6" t="s">
        <v>1310</v>
      </c>
    </row>
    <row r="996">
      <c r="B996" s="6"/>
    </row>
    <row r="997">
      <c r="B997" s="6" t="s">
        <v>1060</v>
      </c>
    </row>
    <row r="998">
      <c r="B998" s="6" t="s">
        <v>1062</v>
      </c>
    </row>
    <row r="999">
      <c r="B999" s="6"/>
    </row>
    <row r="1000">
      <c r="B1000" s="6" t="s">
        <v>1816</v>
      </c>
    </row>
    <row r="1001">
      <c r="B1001" s="6" t="s">
        <v>1817</v>
      </c>
    </row>
    <row r="1002">
      <c r="B1002" s="6" t="s">
        <v>1818</v>
      </c>
    </row>
    <row r="1003">
      <c r="B1003" s="6" t="s">
        <v>1819</v>
      </c>
    </row>
    <row r="1004">
      <c r="B1004" s="6" t="s">
        <v>1820</v>
      </c>
    </row>
    <row r="1005">
      <c r="B1005" s="6" t="s">
        <v>1821</v>
      </c>
    </row>
    <row r="1006">
      <c r="B1006" s="6" t="s">
        <v>1822</v>
      </c>
    </row>
    <row r="1007">
      <c r="B1007" s="6" t="s">
        <v>1825</v>
      </c>
    </row>
    <row r="1008">
      <c r="B1008" s="6" t="s">
        <v>1816</v>
      </c>
    </row>
    <row r="1009">
      <c r="B1009" s="6" t="s">
        <v>1826</v>
      </c>
    </row>
    <row r="1010">
      <c r="B1010" s="6" t="s">
        <v>1827</v>
      </c>
    </row>
    <row r="1011">
      <c r="B1011" s="6" t="s">
        <v>1828</v>
      </c>
    </row>
    <row r="1012">
      <c r="B1012" s="6" t="s">
        <v>1829</v>
      </c>
    </row>
    <row r="1013">
      <c r="B1013" s="6" t="s">
        <v>1832</v>
      </c>
    </row>
    <row r="1014">
      <c r="B1014" s="6" t="s">
        <v>1833</v>
      </c>
    </row>
    <row r="1015">
      <c r="B1015" s="6" t="s">
        <v>1834</v>
      </c>
    </row>
    <row r="1016">
      <c r="B1016" s="6" t="s">
        <v>1835</v>
      </c>
    </row>
    <row r="1017">
      <c r="B1017" s="6" t="s">
        <v>1836</v>
      </c>
    </row>
    <row r="1018">
      <c r="B1018" s="6" t="s">
        <v>1839</v>
      </c>
    </row>
    <row r="1019">
      <c r="B1019" s="6" t="s">
        <v>1840</v>
      </c>
    </row>
    <row r="1020">
      <c r="B1020" s="6" t="s">
        <v>1841</v>
      </c>
    </row>
    <row r="1021">
      <c r="B1021" s="6" t="s">
        <v>1842</v>
      </c>
    </row>
    <row r="1022">
      <c r="B1022" s="6" t="s">
        <v>1843</v>
      </c>
    </row>
    <row r="1023">
      <c r="B1023" s="6" t="s">
        <v>1844</v>
      </c>
    </row>
    <row r="1024">
      <c r="B1024" s="6" t="s">
        <v>1845</v>
      </c>
    </row>
    <row r="1025">
      <c r="B1025" s="6" t="s">
        <v>1841</v>
      </c>
    </row>
    <row r="1026">
      <c r="B1026" s="6" t="s">
        <v>1847</v>
      </c>
    </row>
    <row r="1027">
      <c r="B1027" s="6" t="s">
        <v>1848</v>
      </c>
    </row>
    <row r="1028">
      <c r="B1028" s="6" t="s">
        <v>1817</v>
      </c>
    </row>
    <row r="1029">
      <c r="B1029" s="6" t="s">
        <v>1833</v>
      </c>
    </row>
    <row r="1030">
      <c r="B1030" s="6" t="s">
        <v>1849</v>
      </c>
    </row>
    <row r="1031">
      <c r="B1031" s="6" t="s">
        <v>1850</v>
      </c>
    </row>
    <row r="1032">
      <c r="B1032" s="6" t="s">
        <v>1852</v>
      </c>
    </row>
    <row r="1033">
      <c r="B1033" s="6" t="s">
        <v>1836</v>
      </c>
    </row>
    <row r="1034">
      <c r="B1034" s="6" t="s">
        <v>1853</v>
      </c>
    </row>
    <row r="1035">
      <c r="B1035" s="6" t="s">
        <v>1828</v>
      </c>
    </row>
    <row r="1036">
      <c r="B1036" s="6" t="s">
        <v>1854</v>
      </c>
    </row>
    <row r="1037">
      <c r="B1037" s="6" t="s">
        <v>1835</v>
      </c>
    </row>
    <row r="1038">
      <c r="B1038" s="6" t="s">
        <v>1855</v>
      </c>
    </row>
    <row r="1039">
      <c r="B1039" s="6" t="s">
        <v>1856</v>
      </c>
    </row>
    <row r="1040">
      <c r="B1040" s="6" t="s">
        <v>1857</v>
      </c>
    </row>
    <row r="1041">
      <c r="B1041" s="6" t="s">
        <v>1859</v>
      </c>
    </row>
    <row r="1042">
      <c r="B1042" s="6" t="s">
        <v>1861</v>
      </c>
    </row>
    <row r="1043">
      <c r="B1043" s="6" t="s">
        <v>1862</v>
      </c>
    </row>
    <row r="1044">
      <c r="B1044" s="6" t="s">
        <v>1863</v>
      </c>
    </row>
    <row r="1045">
      <c r="B1045" s="6" t="s">
        <v>1864</v>
      </c>
    </row>
    <row r="1046">
      <c r="B1046" s="6" t="s">
        <v>1865</v>
      </c>
    </row>
    <row r="1047">
      <c r="B1047" s="6" t="s">
        <v>1863</v>
      </c>
    </row>
    <row r="1048">
      <c r="B1048" s="6" t="s">
        <v>1866</v>
      </c>
    </row>
    <row r="1049">
      <c r="B1049" s="6" t="s">
        <v>1867</v>
      </c>
    </row>
    <row r="1050">
      <c r="B1050" s="6" t="s">
        <v>1844</v>
      </c>
    </row>
    <row r="1051">
      <c r="B1051" s="6" t="s">
        <v>1868</v>
      </c>
    </row>
    <row r="1052">
      <c r="B1052" s="6" t="s">
        <v>1833</v>
      </c>
    </row>
    <row r="1053">
      <c r="B1053" s="6" t="s">
        <v>1871</v>
      </c>
    </row>
    <row r="1054">
      <c r="B1054" s="6" t="s">
        <v>1863</v>
      </c>
    </row>
    <row r="1055">
      <c r="B1055" s="6" t="s">
        <v>1872</v>
      </c>
    </row>
    <row r="1056">
      <c r="B1056" s="6" t="s">
        <v>1848</v>
      </c>
    </row>
    <row r="1057">
      <c r="B1057" s="6" t="s">
        <v>1875</v>
      </c>
    </row>
    <row r="1058">
      <c r="B1058" s="6" t="s">
        <v>1876</v>
      </c>
    </row>
    <row r="1059">
      <c r="B1059" s="6" t="s">
        <v>1877</v>
      </c>
    </row>
    <row r="1060">
      <c r="B1060" s="6" t="s">
        <v>1833</v>
      </c>
    </row>
    <row r="1061">
      <c r="B1061" s="6" t="s">
        <v>1878</v>
      </c>
    </row>
    <row r="1062">
      <c r="B1062" s="6" t="s">
        <v>1862</v>
      </c>
    </row>
    <row r="1063">
      <c r="B1063" s="6" t="s">
        <v>1833</v>
      </c>
    </row>
    <row r="1064">
      <c r="B1064" s="6" t="s">
        <v>1881</v>
      </c>
    </row>
    <row r="1065">
      <c r="B1065" s="6" t="s">
        <v>1882</v>
      </c>
    </row>
    <row r="1066">
      <c r="B1066" s="6" t="s">
        <v>1829</v>
      </c>
    </row>
    <row r="1067">
      <c r="B1067" s="6" t="s">
        <v>1863</v>
      </c>
    </row>
    <row r="1068">
      <c r="B1068" s="6" t="s">
        <v>1883</v>
      </c>
    </row>
    <row r="1069">
      <c r="B1069" s="6" t="s">
        <v>1884</v>
      </c>
    </row>
    <row r="1070">
      <c r="B1070" s="6" t="s">
        <v>1875</v>
      </c>
    </row>
    <row r="1071">
      <c r="B1071" s="6" t="s">
        <v>1887</v>
      </c>
    </row>
    <row r="1072">
      <c r="B1072" s="6" t="s">
        <v>1888</v>
      </c>
    </row>
    <row r="1073">
      <c r="B1073" s="6" t="s">
        <v>1850</v>
      </c>
    </row>
    <row r="1074">
      <c r="B1074" s="6" t="s">
        <v>1832</v>
      </c>
    </row>
    <row r="1075">
      <c r="B1075" s="6" t="s">
        <v>1853</v>
      </c>
      <c r="C1075" s="6"/>
    </row>
    <row r="1076">
      <c r="B1076" s="6" t="s">
        <v>1849</v>
      </c>
      <c r="C1076" s="6"/>
    </row>
    <row r="1077">
      <c r="B1077" s="6" t="s">
        <v>1832</v>
      </c>
      <c r="C1077" s="6"/>
    </row>
    <row r="1078">
      <c r="B1078" s="6" t="s">
        <v>1822</v>
      </c>
      <c r="C1078" s="6"/>
    </row>
    <row r="1079">
      <c r="B1079" s="6" t="s">
        <v>1891</v>
      </c>
      <c r="C1079" s="6"/>
    </row>
    <row r="1080">
      <c r="B1080" s="6" t="s">
        <v>1892</v>
      </c>
      <c r="C1080" s="6"/>
    </row>
    <row r="1081">
      <c r="B1081" s="6" t="s">
        <v>1893</v>
      </c>
      <c r="D1081" s="6"/>
    </row>
    <row r="1082">
      <c r="B1082" s="6" t="s">
        <v>1896</v>
      </c>
      <c r="D1082" s="6"/>
    </row>
    <row r="1083">
      <c r="B1083" s="6" t="s">
        <v>1829</v>
      </c>
      <c r="D1083" s="6"/>
    </row>
    <row r="1084">
      <c r="B1084" s="6" t="s">
        <v>1820</v>
      </c>
      <c r="D1084" s="6"/>
    </row>
    <row r="1085">
      <c r="B1085" s="6" t="s">
        <v>1875</v>
      </c>
      <c r="D1085" s="6"/>
    </row>
    <row r="1086">
      <c r="B1086" s="6" t="s">
        <v>1833</v>
      </c>
      <c r="D1086" s="6"/>
    </row>
    <row r="1087">
      <c r="B1087" s="6" t="s">
        <v>1897</v>
      </c>
      <c r="D1087" s="6"/>
    </row>
    <row r="1088">
      <c r="B1088" s="6" t="s">
        <v>1898</v>
      </c>
      <c r="D1088" s="6"/>
    </row>
    <row r="1089">
      <c r="B1089" s="6" t="s">
        <v>1848</v>
      </c>
      <c r="D1089" s="6"/>
    </row>
    <row r="1090">
      <c r="B1090" s="6" t="s">
        <v>1901</v>
      </c>
      <c r="D1090" s="6"/>
    </row>
    <row r="1091">
      <c r="B1091" s="6" t="s">
        <v>1848</v>
      </c>
      <c r="D1091" s="6"/>
    </row>
    <row r="1092">
      <c r="B1092" s="6" t="s">
        <v>1902</v>
      </c>
      <c r="D1092" s="6"/>
    </row>
    <row r="1093">
      <c r="B1093" s="6" t="s">
        <v>1891</v>
      </c>
      <c r="D1093" s="6"/>
    </row>
    <row r="1094">
      <c r="B1094" s="6" t="s">
        <v>1903</v>
      </c>
      <c r="D1094" s="6"/>
    </row>
    <row r="1095">
      <c r="B1095" s="6" t="s">
        <v>1904</v>
      </c>
      <c r="D1095" s="6"/>
    </row>
    <row r="1096">
      <c r="B1096" s="6" t="s">
        <v>1849</v>
      </c>
      <c r="D1096" s="6"/>
    </row>
    <row r="1097">
      <c r="B1097" s="6" t="s">
        <v>1853</v>
      </c>
      <c r="D1097" s="6"/>
    </row>
    <row r="1098">
      <c r="B1098" s="6" t="s">
        <v>1905</v>
      </c>
      <c r="D1098" s="6"/>
    </row>
    <row r="1099">
      <c r="B1099" s="6" t="s">
        <v>1906</v>
      </c>
      <c r="D1099" s="6"/>
    </row>
    <row r="1100">
      <c r="B1100" s="6" t="s">
        <v>48</v>
      </c>
      <c r="D1100" s="6"/>
    </row>
    <row r="1101">
      <c r="B1101" s="6" t="s">
        <v>1907</v>
      </c>
      <c r="D1101" s="6"/>
    </row>
    <row r="1102">
      <c r="B1102" s="6" t="s">
        <v>1058</v>
      </c>
      <c r="D1102" s="6"/>
    </row>
    <row r="1103">
      <c r="C1103" s="6" t="s">
        <v>1908</v>
      </c>
      <c r="D1103" s="6"/>
    </row>
    <row r="1104">
      <c r="C1104" s="6" t="s">
        <v>1910</v>
      </c>
      <c r="D1104" s="6"/>
    </row>
    <row r="1105">
      <c r="C1105" s="6" t="s">
        <v>1912</v>
      </c>
      <c r="D1105" s="6"/>
    </row>
    <row r="1106">
      <c r="C1106" s="6" t="s">
        <v>1710</v>
      </c>
      <c r="D1106" s="6"/>
    </row>
    <row r="1107">
      <c r="C1107" s="6" t="s">
        <v>1151</v>
      </c>
      <c r="D1107" s="6"/>
    </row>
    <row r="1108">
      <c r="C1108" s="6" t="s">
        <v>1058</v>
      </c>
      <c r="D1108" s="6"/>
    </row>
    <row r="1109">
      <c r="D1109" s="6" t="s">
        <v>1913</v>
      </c>
    </row>
    <row r="1110">
      <c r="D1110" s="6" t="s">
        <v>1916</v>
      </c>
    </row>
    <row r="1111">
      <c r="D1111" s="6" t="s">
        <v>1917</v>
      </c>
    </row>
    <row r="1112">
      <c r="D1112" s="6" t="s">
        <v>1918</v>
      </c>
    </row>
    <row r="1113">
      <c r="D1113" s="6" t="s">
        <v>1919</v>
      </c>
    </row>
    <row r="1114">
      <c r="D1114" s="6" t="s">
        <v>1921</v>
      </c>
    </row>
    <row r="1115">
      <c r="D1115" s="6" t="s">
        <v>1923</v>
      </c>
    </row>
    <row r="1116">
      <c r="D1116" s="6" t="s">
        <v>1924</v>
      </c>
    </row>
    <row r="1117">
      <c r="D1117" s="6" t="s">
        <v>1925</v>
      </c>
    </row>
    <row r="1118">
      <c r="D1118" s="6" t="s">
        <v>1926</v>
      </c>
    </row>
    <row r="1119">
      <c r="D1119" s="6" t="s">
        <v>1927</v>
      </c>
    </row>
    <row r="1120">
      <c r="D1120" s="6" t="s">
        <v>1928</v>
      </c>
    </row>
    <row r="1121">
      <c r="D1121" s="6" t="s">
        <v>1931</v>
      </c>
    </row>
    <row r="1122">
      <c r="D1122" s="6" t="s">
        <v>1932</v>
      </c>
    </row>
    <row r="1123">
      <c r="D1123" s="6" t="s">
        <v>1933</v>
      </c>
    </row>
    <row r="1124">
      <c r="D1124" s="6" t="s">
        <v>1934</v>
      </c>
    </row>
    <row r="1125">
      <c r="D1125" s="6" t="s">
        <v>1936</v>
      </c>
    </row>
    <row r="1126">
      <c r="D1126" s="6" t="s">
        <v>1938</v>
      </c>
    </row>
    <row r="1127">
      <c r="D1127" s="6" t="s">
        <v>1939</v>
      </c>
    </row>
    <row r="1128">
      <c r="D1128" s="6" t="s">
        <v>1940</v>
      </c>
    </row>
    <row r="1129">
      <c r="D1129" s="6" t="s">
        <v>1941</v>
      </c>
    </row>
    <row r="1130">
      <c r="D1130" s="6" t="s">
        <v>1942</v>
      </c>
    </row>
    <row r="1131">
      <c r="D1131" s="6" t="s">
        <v>1943</v>
      </c>
    </row>
    <row r="1132">
      <c r="D1132" s="6" t="s">
        <v>1945</v>
      </c>
    </row>
    <row r="1133">
      <c r="D1133" s="6" t="s">
        <v>1947</v>
      </c>
    </row>
    <row r="1134">
      <c r="D1134" s="6" t="s">
        <v>1948</v>
      </c>
    </row>
    <row r="1135">
      <c r="D1135" s="6" t="s">
        <v>1949</v>
      </c>
    </row>
    <row r="1136">
      <c r="D1136" s="6" t="s">
        <v>1950</v>
      </c>
    </row>
    <row r="1137">
      <c r="D1137" s="6" t="s">
        <v>1953</v>
      </c>
    </row>
    <row r="1138">
      <c r="D1138" s="6" t="s">
        <v>1954</v>
      </c>
    </row>
    <row r="1139">
      <c r="D1139" s="6" t="s">
        <v>1955</v>
      </c>
    </row>
    <row r="1140">
      <c r="D1140" s="6" t="s">
        <v>1956</v>
      </c>
    </row>
    <row r="1141">
      <c r="D1141" s="6" t="s">
        <v>1958</v>
      </c>
    </row>
    <row r="1142">
      <c r="D1142" s="6" t="s">
        <v>1960</v>
      </c>
    </row>
    <row r="1143">
      <c r="D1143" s="6" t="s">
        <v>1961</v>
      </c>
    </row>
    <row r="1144">
      <c r="D1144" s="6" t="s">
        <v>1962</v>
      </c>
    </row>
    <row r="1145">
      <c r="D1145" s="6" t="s">
        <v>1963</v>
      </c>
    </row>
    <row r="1146">
      <c r="D1146" s="6" t="s">
        <v>1964</v>
      </c>
    </row>
    <row r="1147">
      <c r="D1147" s="6" t="s">
        <v>1967</v>
      </c>
    </row>
    <row r="1148">
      <c r="D1148" s="6" t="s">
        <v>1968</v>
      </c>
    </row>
    <row r="1149">
      <c r="D1149" s="6" t="s">
        <v>1969</v>
      </c>
    </row>
    <row r="1150">
      <c r="D1150" s="6" t="s">
        <v>1970</v>
      </c>
    </row>
    <row r="1151">
      <c r="D1151" s="6" t="s">
        <v>1972</v>
      </c>
    </row>
    <row r="1152">
      <c r="D1152" s="6" t="s">
        <v>1974</v>
      </c>
    </row>
    <row r="1153">
      <c r="D1153" s="6" t="s">
        <v>1975</v>
      </c>
    </row>
    <row r="1154">
      <c r="D1154" s="6" t="s">
        <v>1976</v>
      </c>
    </row>
    <row r="1155">
      <c r="D1155" s="6" t="s">
        <v>1977</v>
      </c>
    </row>
    <row r="1156">
      <c r="D1156" s="6" t="s">
        <v>1978</v>
      </c>
    </row>
    <row r="1157">
      <c r="D1157" s="6" t="s">
        <v>1979</v>
      </c>
    </row>
    <row r="1158">
      <c r="D1158" s="6" t="s">
        <v>1980</v>
      </c>
    </row>
    <row r="1159">
      <c r="D1159" s="6" t="s">
        <v>1982</v>
      </c>
    </row>
    <row r="1160">
      <c r="D1160" s="6" t="s">
        <v>1984</v>
      </c>
    </row>
    <row r="1161">
      <c r="D1161" s="6" t="s">
        <v>1985</v>
      </c>
    </row>
    <row r="1162">
      <c r="D1162" s="6" t="s">
        <v>1986</v>
      </c>
    </row>
    <row r="1163">
      <c r="D1163" s="6" t="s">
        <v>1987</v>
      </c>
    </row>
    <row r="1164">
      <c r="D1164" s="6" t="s">
        <v>1988</v>
      </c>
    </row>
    <row r="1165">
      <c r="D1165" s="6" t="s">
        <v>1989</v>
      </c>
    </row>
    <row r="1166">
      <c r="D1166" s="6" t="s">
        <v>1990</v>
      </c>
    </row>
    <row r="1167">
      <c r="D1167" s="6" t="s">
        <v>1991</v>
      </c>
    </row>
    <row r="1168">
      <c r="D1168" s="6" t="s">
        <v>1992</v>
      </c>
    </row>
    <row r="1169">
      <c r="D1169" s="6" t="s">
        <v>1994</v>
      </c>
    </row>
    <row r="1170">
      <c r="D1170" s="6" t="s">
        <v>1996</v>
      </c>
    </row>
    <row r="1171">
      <c r="D1171" s="6" t="s">
        <v>1997</v>
      </c>
    </row>
    <row r="1172">
      <c r="D1172" s="6" t="s">
        <v>1998</v>
      </c>
    </row>
    <row r="1173">
      <c r="D1173" s="6" t="s">
        <v>1999</v>
      </c>
    </row>
    <row r="1174">
      <c r="D1174" s="6" t="s">
        <v>2000</v>
      </c>
    </row>
    <row r="1175">
      <c r="D1175" s="6" t="s">
        <v>2001</v>
      </c>
    </row>
    <row r="1176">
      <c r="D1176" s="6" t="s">
        <v>2003</v>
      </c>
    </row>
    <row r="1177">
      <c r="D1177" s="6" t="s">
        <v>2005</v>
      </c>
    </row>
    <row r="1178">
      <c r="D1178" s="6" t="s">
        <v>2006</v>
      </c>
    </row>
    <row r="1179">
      <c r="D1179" s="6" t="s">
        <v>2007</v>
      </c>
    </row>
    <row r="1180">
      <c r="D1180" s="6" t="s">
        <v>2008</v>
      </c>
    </row>
    <row r="1181">
      <c r="D1181" s="6" t="s">
        <v>2009</v>
      </c>
    </row>
    <row r="1182">
      <c r="D1182" s="6" t="s">
        <v>2010</v>
      </c>
    </row>
    <row r="1183">
      <c r="D1183" s="6" t="s">
        <v>2011</v>
      </c>
    </row>
    <row r="1184">
      <c r="D1184" s="6" t="s">
        <v>2012</v>
      </c>
    </row>
    <row r="1185">
      <c r="D1185" s="6" t="s">
        <v>2013</v>
      </c>
    </row>
    <row r="1186">
      <c r="D1186" s="6" t="s">
        <v>2015</v>
      </c>
    </row>
    <row r="1187">
      <c r="D1187" s="6" t="s">
        <v>2016</v>
      </c>
    </row>
    <row r="1188">
      <c r="D1188" s="6" t="s">
        <v>2017</v>
      </c>
    </row>
    <row r="1189">
      <c r="D1189" s="6" t="s">
        <v>2018</v>
      </c>
    </row>
    <row r="1190">
      <c r="D1190" s="6" t="s">
        <v>2019</v>
      </c>
    </row>
    <row r="1191">
      <c r="D1191" s="6" t="s">
        <v>2020</v>
      </c>
    </row>
    <row r="1192">
      <c r="D1192" s="6" t="s">
        <v>2021</v>
      </c>
    </row>
    <row r="1193">
      <c r="D1193" s="6" t="s">
        <v>2022</v>
      </c>
    </row>
    <row r="1194">
      <c r="D1194" s="6" t="s">
        <v>2023</v>
      </c>
    </row>
    <row r="1195">
      <c r="D1195" s="6" t="s">
        <v>2024</v>
      </c>
    </row>
    <row r="1196">
      <c r="D1196" s="6" t="s">
        <v>2026</v>
      </c>
    </row>
    <row r="1197">
      <c r="D1197" s="6" t="s">
        <v>2027</v>
      </c>
    </row>
    <row r="1198">
      <c r="D1198" s="6" t="s">
        <v>2028</v>
      </c>
    </row>
    <row r="1199">
      <c r="D1199" s="6" t="s">
        <v>2029</v>
      </c>
    </row>
    <row r="1200">
      <c r="D1200" s="6" t="s">
        <v>2030</v>
      </c>
    </row>
    <row r="1201">
      <c r="D1201" s="6" t="s">
        <v>2031</v>
      </c>
    </row>
    <row r="1202">
      <c r="D1202" s="6" t="s">
        <v>2032</v>
      </c>
    </row>
    <row r="1203">
      <c r="D1203" s="6" t="s">
        <v>2033</v>
      </c>
    </row>
    <row r="1204">
      <c r="D1204" s="6" t="s">
        <v>2035</v>
      </c>
    </row>
    <row r="1205">
      <c r="D1205" s="6" t="s">
        <v>2036</v>
      </c>
    </row>
    <row r="1206">
      <c r="D1206" s="6" t="s">
        <v>2037</v>
      </c>
    </row>
    <row r="1207">
      <c r="D1207" s="6" t="s">
        <v>2038</v>
      </c>
    </row>
    <row r="1208">
      <c r="D1208" s="6" t="s">
        <v>2040</v>
      </c>
    </row>
    <row r="1209">
      <c r="D1209" s="6" t="s">
        <v>2041</v>
      </c>
    </row>
    <row r="1210">
      <c r="D1210" s="6" t="s">
        <v>2042</v>
      </c>
    </row>
    <row r="1211">
      <c r="D1211" s="6" t="s">
        <v>2044</v>
      </c>
    </row>
    <row r="1212">
      <c r="D1212" s="6" t="s">
        <v>2045</v>
      </c>
    </row>
    <row r="1213">
      <c r="D1213" s="6" t="s">
        <v>2046</v>
      </c>
    </row>
    <row r="1214">
      <c r="D1214" s="6" t="s">
        <v>2047</v>
      </c>
    </row>
    <row r="1215">
      <c r="D1215" s="6" t="s">
        <v>2048</v>
      </c>
    </row>
    <row r="1216">
      <c r="D1216" s="6" t="s">
        <v>2050</v>
      </c>
    </row>
    <row r="1217">
      <c r="D1217" s="6" t="s">
        <v>2051</v>
      </c>
    </row>
    <row r="1218">
      <c r="D1218" s="6" t="s">
        <v>2052</v>
      </c>
    </row>
    <row r="1219">
      <c r="D1219" s="6" t="s">
        <v>2053</v>
      </c>
    </row>
    <row r="1220">
      <c r="D1220" s="6" t="s">
        <v>2054</v>
      </c>
    </row>
    <row r="1221">
      <c r="D1221" s="6" t="s">
        <v>2055</v>
      </c>
    </row>
    <row r="1222">
      <c r="D1222" s="6" t="s">
        <v>2056</v>
      </c>
    </row>
    <row r="1223">
      <c r="D1223" s="6" t="s">
        <v>2058</v>
      </c>
    </row>
    <row r="1224">
      <c r="D1224" s="6" t="s">
        <v>2059</v>
      </c>
    </row>
    <row r="1225">
      <c r="D1225" s="6" t="s">
        <v>2060</v>
      </c>
    </row>
    <row r="1226">
      <c r="D1226" s="6" t="s">
        <v>2061</v>
      </c>
    </row>
    <row r="1227">
      <c r="D1227" s="6" t="s">
        <v>2062</v>
      </c>
    </row>
    <row r="1228">
      <c r="D1228" s="6" t="s">
        <v>2063</v>
      </c>
    </row>
    <row r="1229">
      <c r="D1229" s="6" t="s">
        <v>2064</v>
      </c>
    </row>
    <row r="1230">
      <c r="D1230" s="6" t="s">
        <v>2066</v>
      </c>
    </row>
    <row r="1231">
      <c r="D1231" s="6" t="s">
        <v>2067</v>
      </c>
    </row>
    <row r="1232">
      <c r="D1232" s="6" t="s">
        <v>2068</v>
      </c>
    </row>
    <row r="1233">
      <c r="D1233" s="6" t="s">
        <v>2069</v>
      </c>
    </row>
    <row r="1234">
      <c r="D1234" s="6" t="s">
        <v>2070</v>
      </c>
    </row>
    <row r="1235">
      <c r="D1235" s="6" t="s">
        <v>2071</v>
      </c>
    </row>
    <row r="1236">
      <c r="D1236" s="6" t="s">
        <v>2072</v>
      </c>
    </row>
    <row r="1237">
      <c r="D1237" s="6" t="s">
        <v>2073</v>
      </c>
    </row>
    <row r="1238">
      <c r="D1238" s="6" t="s">
        <v>2074</v>
      </c>
    </row>
    <row r="1239">
      <c r="D1239" s="6" t="s">
        <v>2076</v>
      </c>
    </row>
    <row r="1240">
      <c r="D1240" s="6" t="s">
        <v>2077</v>
      </c>
    </row>
    <row r="1241">
      <c r="D1241" s="6" t="s">
        <v>2078</v>
      </c>
    </row>
    <row r="1242">
      <c r="D1242" s="6" t="s">
        <v>2079</v>
      </c>
    </row>
    <row r="1243">
      <c r="D1243" s="6" t="s">
        <v>2080</v>
      </c>
    </row>
    <row r="1244">
      <c r="D1244" s="6" t="s">
        <v>2081</v>
      </c>
    </row>
    <row r="1245">
      <c r="D1245" s="6" t="s">
        <v>2082</v>
      </c>
    </row>
    <row r="1246">
      <c r="D1246" s="6" t="s">
        <v>2083</v>
      </c>
    </row>
    <row r="1247">
      <c r="D1247" s="6" t="s">
        <v>2085</v>
      </c>
    </row>
    <row r="1248">
      <c r="D1248" s="6" t="s">
        <v>2086</v>
      </c>
    </row>
    <row r="1249">
      <c r="D1249" s="6" t="s">
        <v>2087</v>
      </c>
    </row>
    <row r="1250">
      <c r="D1250" s="6" t="s">
        <v>2088</v>
      </c>
    </row>
    <row r="1251">
      <c r="D1251" s="6" t="s">
        <v>2089</v>
      </c>
    </row>
    <row r="1252">
      <c r="D1252" s="6" t="s">
        <v>2090</v>
      </c>
    </row>
    <row r="1253">
      <c r="D1253" s="6" t="s">
        <v>2091</v>
      </c>
    </row>
    <row r="1254">
      <c r="D1254" s="6" t="s">
        <v>2092</v>
      </c>
    </row>
    <row r="1255">
      <c r="D1255" s="6" t="s">
        <v>2093</v>
      </c>
    </row>
    <row r="1256">
      <c r="D1256" s="6" t="s">
        <v>2094</v>
      </c>
    </row>
    <row r="1257">
      <c r="D1257" s="6" t="s">
        <v>2095</v>
      </c>
    </row>
    <row r="1258">
      <c r="D1258" s="6" t="s">
        <v>2097</v>
      </c>
    </row>
    <row r="1259">
      <c r="D1259" s="6" t="s">
        <v>2098</v>
      </c>
    </row>
    <row r="1260">
      <c r="D1260" s="6" t="s">
        <v>2099</v>
      </c>
    </row>
    <row r="1261">
      <c r="D1261" s="6" t="s">
        <v>2100</v>
      </c>
    </row>
    <row r="1262">
      <c r="D1262" s="6" t="s">
        <v>2101</v>
      </c>
    </row>
    <row r="1263">
      <c r="D1263" s="6" t="s">
        <v>2103</v>
      </c>
    </row>
    <row r="1264">
      <c r="D1264" s="6" t="s">
        <v>2104</v>
      </c>
    </row>
    <row r="1265">
      <c r="D1265" s="6" t="s">
        <v>2105</v>
      </c>
    </row>
    <row r="1266">
      <c r="D1266" s="6" t="s">
        <v>2107</v>
      </c>
    </row>
    <row r="1267">
      <c r="D1267" s="6" t="s">
        <v>2108</v>
      </c>
    </row>
    <row r="1268">
      <c r="D1268" s="6" t="s">
        <v>2109</v>
      </c>
    </row>
    <row r="1269">
      <c r="D1269" s="6" t="s">
        <v>2110</v>
      </c>
    </row>
    <row r="1270">
      <c r="D1270" s="6" t="s">
        <v>2111</v>
      </c>
    </row>
    <row r="1271">
      <c r="D1271" s="6" t="s">
        <v>2112</v>
      </c>
    </row>
    <row r="1272">
      <c r="D1272" s="6" t="s">
        <v>2113</v>
      </c>
    </row>
    <row r="1273">
      <c r="D1273" s="6" t="s">
        <v>2114</v>
      </c>
    </row>
    <row r="1274">
      <c r="D1274" s="6" t="s">
        <v>2115</v>
      </c>
    </row>
    <row r="1275">
      <c r="D1275" s="6" t="s">
        <v>2116</v>
      </c>
    </row>
    <row r="1276">
      <c r="D1276" s="6" t="s">
        <v>2117</v>
      </c>
    </row>
    <row r="1277">
      <c r="D1277" s="6" t="s">
        <v>2119</v>
      </c>
    </row>
    <row r="1278">
      <c r="D1278" s="6" t="s">
        <v>2120</v>
      </c>
    </row>
    <row r="1279">
      <c r="D1279" s="6" t="s">
        <v>2121</v>
      </c>
    </row>
    <row r="1280">
      <c r="D1280" s="6" t="s">
        <v>2122</v>
      </c>
    </row>
    <row r="1281">
      <c r="D1281" s="6" t="s">
        <v>2123</v>
      </c>
    </row>
    <row r="1282">
      <c r="D1282" s="6" t="s">
        <v>2124</v>
      </c>
    </row>
    <row r="1283">
      <c r="D1283" s="6" t="s">
        <v>2126</v>
      </c>
    </row>
    <row r="1284">
      <c r="D1284" s="6" t="s">
        <v>2127</v>
      </c>
    </row>
    <row r="1285">
      <c r="D1285" s="6" t="s">
        <v>2128</v>
      </c>
    </row>
    <row r="1286">
      <c r="D1286" s="6" t="s">
        <v>2129</v>
      </c>
    </row>
    <row r="1287">
      <c r="D1287" s="6" t="s">
        <v>2130</v>
      </c>
    </row>
    <row r="1288">
      <c r="D1288" s="6" t="s">
        <v>2131</v>
      </c>
    </row>
    <row r="1289">
      <c r="D1289" s="6" t="s">
        <v>2132</v>
      </c>
    </row>
    <row r="1290">
      <c r="D1290" s="6" t="s">
        <v>2134</v>
      </c>
    </row>
    <row r="1291">
      <c r="D1291" s="6" t="s">
        <v>2135</v>
      </c>
    </row>
    <row r="1292">
      <c r="D1292" s="6" t="s">
        <v>2136</v>
      </c>
    </row>
    <row r="1293">
      <c r="D1293" s="6" t="s">
        <v>2137</v>
      </c>
    </row>
    <row r="1294">
      <c r="D1294" s="6" t="s">
        <v>2138</v>
      </c>
    </row>
    <row r="1295">
      <c r="D1295" s="6" t="s">
        <v>2139</v>
      </c>
    </row>
    <row r="1296">
      <c r="D1296" s="6" t="s">
        <v>2140</v>
      </c>
    </row>
    <row r="1297">
      <c r="D1297" s="6" t="s">
        <v>2141</v>
      </c>
    </row>
    <row r="1298">
      <c r="D1298" s="6" t="s">
        <v>2142</v>
      </c>
    </row>
    <row r="1299">
      <c r="D1299" s="6" t="s">
        <v>2143</v>
      </c>
    </row>
    <row r="1300">
      <c r="D1300" s="6" t="s">
        <v>2144</v>
      </c>
    </row>
    <row r="1301">
      <c r="D1301" s="6" t="s">
        <v>2145</v>
      </c>
    </row>
    <row r="1302">
      <c r="D1302" s="6" t="s">
        <v>2147</v>
      </c>
    </row>
    <row r="1303">
      <c r="D1303" s="6" t="s">
        <v>2148</v>
      </c>
    </row>
    <row r="1304">
      <c r="D1304" s="6" t="s">
        <v>2149</v>
      </c>
    </row>
    <row r="1305">
      <c r="D1305" s="6" t="s">
        <v>2150</v>
      </c>
    </row>
    <row r="1306">
      <c r="D1306" s="6" t="s">
        <v>2151</v>
      </c>
    </row>
    <row r="1307">
      <c r="D1307" s="6" t="s">
        <v>2152</v>
      </c>
    </row>
    <row r="1308">
      <c r="D1308" s="6" t="s">
        <v>2154</v>
      </c>
    </row>
    <row r="1309">
      <c r="D1309" s="6" t="s">
        <v>2155</v>
      </c>
    </row>
    <row r="1310">
      <c r="D1310" s="6" t="s">
        <v>2156</v>
      </c>
    </row>
    <row r="1311">
      <c r="D1311" s="6" t="s">
        <v>2158</v>
      </c>
    </row>
    <row r="1312">
      <c r="D1312" s="6" t="s">
        <v>2159</v>
      </c>
    </row>
    <row r="1313">
      <c r="D1313" s="6" t="s">
        <v>2160</v>
      </c>
    </row>
    <row r="1314">
      <c r="D1314" s="6" t="s">
        <v>2161</v>
      </c>
    </row>
    <row r="1315">
      <c r="D1315" s="6" t="s">
        <v>2163</v>
      </c>
    </row>
    <row r="1316">
      <c r="D1316" s="6" t="s">
        <v>2164</v>
      </c>
    </row>
    <row r="1317">
      <c r="D1317" s="6" t="s">
        <v>2165</v>
      </c>
    </row>
    <row r="1318">
      <c r="D1318" s="6" t="s">
        <v>2166</v>
      </c>
    </row>
    <row r="1319">
      <c r="D1319" s="6" t="s">
        <v>2167</v>
      </c>
    </row>
    <row r="1320">
      <c r="D1320" s="6" t="s">
        <v>2169</v>
      </c>
    </row>
    <row r="1321">
      <c r="D1321" s="6" t="s">
        <v>2170</v>
      </c>
    </row>
    <row r="1322">
      <c r="D1322" s="6" t="s">
        <v>2171</v>
      </c>
    </row>
    <row r="1323">
      <c r="D1323" s="6" t="s">
        <v>2172</v>
      </c>
    </row>
    <row r="1324">
      <c r="C1324" s="6"/>
      <c r="D1324" s="6" t="s">
        <v>2173</v>
      </c>
    </row>
    <row r="1325">
      <c r="B1325" s="6"/>
      <c r="D1325" s="6" t="s">
        <v>2175</v>
      </c>
    </row>
    <row r="1326">
      <c r="D1326" s="6" t="s">
        <v>2176</v>
      </c>
    </row>
    <row r="1327">
      <c r="B1327" s="6"/>
      <c r="D1327" s="6" t="s">
        <v>2177</v>
      </c>
    </row>
    <row r="1328">
      <c r="B1328" s="6"/>
      <c r="D1328" s="6" t="s">
        <v>2178</v>
      </c>
    </row>
    <row r="1329">
      <c r="D1329" s="6" t="s">
        <v>2179</v>
      </c>
    </row>
    <row r="1330">
      <c r="B1330" s="6"/>
      <c r="D1330" s="6" t="s">
        <v>2181</v>
      </c>
    </row>
    <row r="1331">
      <c r="B1331" s="6"/>
      <c r="D1331" s="6" t="s">
        <v>2182</v>
      </c>
    </row>
    <row r="1332">
      <c r="B1332" s="6"/>
      <c r="D1332" s="6" t="s">
        <v>2183</v>
      </c>
    </row>
    <row r="1333">
      <c r="B1333" s="6"/>
      <c r="D1333" s="6" t="s">
        <v>2184</v>
      </c>
    </row>
    <row r="1334">
      <c r="B1334" s="6"/>
      <c r="D1334" s="6" t="s">
        <v>2185</v>
      </c>
    </row>
    <row r="1335">
      <c r="B1335" s="6"/>
      <c r="D1335" s="6" t="s">
        <v>2187</v>
      </c>
    </row>
    <row r="1336">
      <c r="B1336" s="6"/>
      <c r="D1336" s="6" t="s">
        <v>2188</v>
      </c>
    </row>
    <row r="1337">
      <c r="B1337" s="6"/>
      <c r="D1337" s="6" t="s">
        <v>2189</v>
      </c>
    </row>
    <row r="1338">
      <c r="B1338" s="6"/>
      <c r="D1338" s="6" t="s">
        <v>2190</v>
      </c>
    </row>
    <row r="1339">
      <c r="B1339" s="6"/>
      <c r="D1339" s="6" t="s">
        <v>2191</v>
      </c>
    </row>
    <row r="1340">
      <c r="B1340" s="6"/>
      <c r="D1340" s="6" t="s">
        <v>2192</v>
      </c>
    </row>
    <row r="1341">
      <c r="B1341" s="6"/>
      <c r="D1341" s="6" t="s">
        <v>2194</v>
      </c>
    </row>
    <row r="1342">
      <c r="B1342" s="6"/>
      <c r="D1342" s="6" t="s">
        <v>2195</v>
      </c>
    </row>
    <row r="1343">
      <c r="B1343" s="6"/>
      <c r="D1343" s="6" t="s">
        <v>2196</v>
      </c>
    </row>
    <row r="1344">
      <c r="B1344" s="6"/>
      <c r="D1344" s="6" t="s">
        <v>2197</v>
      </c>
    </row>
    <row r="1345">
      <c r="B1345" s="6"/>
      <c r="D1345" s="6" t="s">
        <v>2198</v>
      </c>
    </row>
    <row r="1346">
      <c r="B1346" s="6"/>
      <c r="D1346" s="6" t="s">
        <v>2199</v>
      </c>
    </row>
    <row r="1347">
      <c r="B1347" s="6"/>
      <c r="D1347" s="6" t="s">
        <v>2200</v>
      </c>
    </row>
    <row r="1348">
      <c r="B1348" s="6"/>
      <c r="D1348" s="6" t="s">
        <v>2201</v>
      </c>
    </row>
    <row r="1349">
      <c r="B1349" s="6"/>
      <c r="D1349" s="6" t="s">
        <v>2202</v>
      </c>
    </row>
    <row r="1350">
      <c r="B1350" s="6"/>
      <c r="D1350" s="6" t="s">
        <v>2203</v>
      </c>
    </row>
    <row r="1351">
      <c r="B1351" s="6"/>
      <c r="D1351" s="6" t="s">
        <v>2205</v>
      </c>
    </row>
    <row r="1352">
      <c r="B1352" s="6"/>
      <c r="C1352" s="6" t="s">
        <v>1310</v>
      </c>
    </row>
    <row r="1353">
      <c r="B1353" s="6" t="s">
        <v>1310</v>
      </c>
    </row>
    <row r="1354">
      <c r="B1354" s="6"/>
    </row>
    <row r="1355">
      <c r="B1355" s="6" t="s">
        <v>1060</v>
      </c>
    </row>
    <row r="1356">
      <c r="B1356" s="6" t="s">
        <v>1062</v>
      </c>
    </row>
    <row r="1357">
      <c r="B1357" s="6"/>
    </row>
    <row r="1358">
      <c r="B1358" s="6" t="s">
        <v>1092</v>
      </c>
    </row>
    <row r="1359">
      <c r="B1359" s="6" t="s">
        <v>1092</v>
      </c>
    </row>
    <row r="1360">
      <c r="B1360" s="6" t="s">
        <v>1067</v>
      </c>
    </row>
    <row r="1361">
      <c r="B1361" s="6" t="s">
        <v>1100</v>
      </c>
    </row>
    <row r="1362">
      <c r="B1362" s="6" t="s">
        <v>1100</v>
      </c>
    </row>
    <row r="1363">
      <c r="B1363" s="6" t="s">
        <v>1114</v>
      </c>
    </row>
    <row r="1364">
      <c r="B1364" s="6" t="s">
        <v>1092</v>
      </c>
    </row>
    <row r="1365">
      <c r="B1365" s="6" t="s">
        <v>1114</v>
      </c>
    </row>
    <row r="1366">
      <c r="B1366" s="6" t="s">
        <v>1092</v>
      </c>
    </row>
    <row r="1367">
      <c r="B1367" s="6" t="s">
        <v>1083</v>
      </c>
    </row>
    <row r="1368">
      <c r="B1368" s="6" t="s">
        <v>1067</v>
      </c>
    </row>
    <row r="1369">
      <c r="B1369" s="6" t="s">
        <v>1092</v>
      </c>
    </row>
    <row r="1370">
      <c r="B1370" s="6" t="s">
        <v>1092</v>
      </c>
    </row>
    <row r="1371">
      <c r="B1371" s="6" t="s">
        <v>1092</v>
      </c>
    </row>
    <row r="1372">
      <c r="B1372" s="6" t="s">
        <v>1092</v>
      </c>
    </row>
    <row r="1373">
      <c r="B1373" s="6" t="s">
        <v>1083</v>
      </c>
    </row>
    <row r="1374">
      <c r="B1374" s="6" t="s">
        <v>1100</v>
      </c>
    </row>
    <row r="1375">
      <c r="B1375" s="6" t="s">
        <v>2208</v>
      </c>
    </row>
    <row r="1376">
      <c r="B1376" s="6" t="s">
        <v>1092</v>
      </c>
    </row>
    <row r="1377">
      <c r="B1377" s="6" t="s">
        <v>2209</v>
      </c>
    </row>
    <row r="1378">
      <c r="B1378" s="6" t="s">
        <v>1067</v>
      </c>
    </row>
    <row r="1379">
      <c r="B1379" s="6" t="s">
        <v>1100</v>
      </c>
    </row>
    <row r="1380">
      <c r="B1380" s="6" t="s">
        <v>1083</v>
      </c>
    </row>
    <row r="1381">
      <c r="B1381" s="6" t="s">
        <v>1114</v>
      </c>
    </row>
    <row r="1382">
      <c r="B1382" s="6" t="s">
        <v>1558</v>
      </c>
    </row>
    <row r="1383">
      <c r="B1383" s="6" t="s">
        <v>1067</v>
      </c>
    </row>
    <row r="1384">
      <c r="B1384" s="6" t="s">
        <v>1100</v>
      </c>
    </row>
    <row r="1385">
      <c r="B1385" s="6" t="s">
        <v>1100</v>
      </c>
    </row>
    <row r="1386">
      <c r="B1386" s="6" t="s">
        <v>1092</v>
      </c>
    </row>
    <row r="1387">
      <c r="B1387" s="6" t="s">
        <v>1092</v>
      </c>
    </row>
    <row r="1388">
      <c r="B1388" s="6" t="s">
        <v>1092</v>
      </c>
    </row>
    <row r="1389">
      <c r="B1389" s="6" t="s">
        <v>1092</v>
      </c>
    </row>
    <row r="1390">
      <c r="B1390" s="6" t="s">
        <v>1317</v>
      </c>
    </row>
    <row r="1391">
      <c r="B1391" s="6" t="s">
        <v>2208</v>
      </c>
    </row>
    <row r="1392">
      <c r="B1392" s="6" t="s">
        <v>1092</v>
      </c>
    </row>
    <row r="1393">
      <c r="B1393" s="6" t="s">
        <v>1092</v>
      </c>
    </row>
    <row r="1394">
      <c r="B1394" s="6" t="s">
        <v>1100</v>
      </c>
    </row>
    <row r="1395">
      <c r="B1395" s="6" t="s">
        <v>1100</v>
      </c>
    </row>
    <row r="1396">
      <c r="B1396" s="6" t="s">
        <v>1092</v>
      </c>
    </row>
    <row r="1397">
      <c r="B1397" s="6" t="s">
        <v>2209</v>
      </c>
    </row>
    <row r="1398">
      <c r="B1398" s="6" t="s">
        <v>1083</v>
      </c>
    </row>
    <row r="1399">
      <c r="B1399" s="6" t="s">
        <v>1114</v>
      </c>
    </row>
    <row r="1400">
      <c r="B1400" s="6" t="s">
        <v>1092</v>
      </c>
    </row>
    <row r="1401">
      <c r="B1401" s="6" t="s">
        <v>1100</v>
      </c>
    </row>
    <row r="1402">
      <c r="B1402" s="6" t="s">
        <v>1092</v>
      </c>
    </row>
    <row r="1403">
      <c r="B1403" s="6" t="s">
        <v>1114</v>
      </c>
    </row>
    <row r="1404">
      <c r="B1404" s="6" t="s">
        <v>1067</v>
      </c>
    </row>
    <row r="1405">
      <c r="B1405" s="6" t="s">
        <v>1092</v>
      </c>
    </row>
    <row r="1406">
      <c r="B1406" s="6" t="s">
        <v>1100</v>
      </c>
    </row>
    <row r="1407">
      <c r="B1407" s="6" t="s">
        <v>1067</v>
      </c>
    </row>
    <row r="1408">
      <c r="B1408" s="6" t="s">
        <v>1114</v>
      </c>
    </row>
    <row r="1409">
      <c r="B1409" s="6" t="s">
        <v>1317</v>
      </c>
    </row>
    <row r="1410">
      <c r="B1410" s="6" t="s">
        <v>1092</v>
      </c>
    </row>
    <row r="1411">
      <c r="B1411" s="6" t="s">
        <v>1092</v>
      </c>
    </row>
    <row r="1412">
      <c r="B1412" s="6" t="s">
        <v>1092</v>
      </c>
    </row>
    <row r="1413">
      <c r="B1413" s="6" t="s">
        <v>1067</v>
      </c>
    </row>
    <row r="1414">
      <c r="B1414" s="6" t="s">
        <v>1100</v>
      </c>
    </row>
    <row r="1415">
      <c r="B1415" s="6" t="s">
        <v>1092</v>
      </c>
    </row>
    <row r="1416">
      <c r="B1416" s="6" t="s">
        <v>1114</v>
      </c>
    </row>
    <row r="1417">
      <c r="B1417" s="6" t="s">
        <v>1083</v>
      </c>
    </row>
    <row r="1418">
      <c r="B1418" s="6" t="s">
        <v>1092</v>
      </c>
    </row>
    <row r="1419">
      <c r="B1419" s="6" t="s">
        <v>1350</v>
      </c>
    </row>
    <row r="1420">
      <c r="B1420" s="6" t="s">
        <v>1100</v>
      </c>
    </row>
    <row r="1421">
      <c r="B1421" s="6" t="s">
        <v>1092</v>
      </c>
    </row>
    <row r="1422">
      <c r="B1422" s="6" t="s">
        <v>1114</v>
      </c>
    </row>
    <row r="1423">
      <c r="B1423" s="6" t="s">
        <v>1114</v>
      </c>
    </row>
    <row r="1424">
      <c r="B1424" s="6" t="s">
        <v>1092</v>
      </c>
    </row>
    <row r="1425">
      <c r="B1425" s="6" t="s">
        <v>1092</v>
      </c>
    </row>
    <row r="1426">
      <c r="B1426" s="6" t="s">
        <v>1092</v>
      </c>
    </row>
    <row r="1427">
      <c r="B1427" s="6" t="s">
        <v>1317</v>
      </c>
    </row>
    <row r="1428">
      <c r="B1428" s="6" t="s">
        <v>1092</v>
      </c>
    </row>
    <row r="1429">
      <c r="B1429" s="6" t="s">
        <v>1536</v>
      </c>
    </row>
    <row r="1430">
      <c r="B1430" s="6" t="s">
        <v>2216</v>
      </c>
    </row>
    <row r="1431">
      <c r="B1431" s="6" t="s">
        <v>1092</v>
      </c>
    </row>
    <row r="1432">
      <c r="B1432" s="6" t="s">
        <v>1092</v>
      </c>
    </row>
    <row r="1433">
      <c r="B1433" s="6" t="s">
        <v>1092</v>
      </c>
      <c r="C1433" s="6"/>
    </row>
    <row r="1434">
      <c r="B1434" s="6" t="s">
        <v>1092</v>
      </c>
      <c r="C1434" s="6"/>
    </row>
    <row r="1435">
      <c r="B1435" s="6" t="s">
        <v>1092</v>
      </c>
      <c r="C1435" s="6"/>
    </row>
    <row r="1436">
      <c r="B1436" s="6" t="s">
        <v>1092</v>
      </c>
      <c r="C1436" s="6"/>
    </row>
    <row r="1437">
      <c r="B1437" s="6" t="s">
        <v>1092</v>
      </c>
      <c r="C1437" s="6"/>
    </row>
    <row r="1438">
      <c r="B1438" s="6" t="s">
        <v>2209</v>
      </c>
      <c r="C1438" s="6"/>
    </row>
    <row r="1439">
      <c r="B1439" s="6" t="s">
        <v>1092</v>
      </c>
      <c r="D1439" s="6"/>
    </row>
    <row r="1440">
      <c r="B1440" s="6" t="s">
        <v>1092</v>
      </c>
      <c r="D1440" s="6"/>
    </row>
    <row r="1441">
      <c r="B1441" s="6" t="s">
        <v>1092</v>
      </c>
      <c r="D1441" s="6"/>
    </row>
    <row r="1442">
      <c r="B1442" s="6" t="s">
        <v>1100</v>
      </c>
      <c r="D1442" s="6"/>
    </row>
    <row r="1443">
      <c r="B1443" s="6" t="s">
        <v>1092</v>
      </c>
      <c r="D1443" s="6"/>
    </row>
    <row r="1444">
      <c r="B1444" s="6" t="s">
        <v>1092</v>
      </c>
      <c r="D1444" s="6"/>
    </row>
    <row r="1445">
      <c r="B1445" s="6" t="s">
        <v>1114</v>
      </c>
      <c r="D1445" s="6"/>
    </row>
    <row r="1446">
      <c r="B1446" s="6" t="s">
        <v>1083</v>
      </c>
      <c r="D1446" s="6"/>
    </row>
    <row r="1447">
      <c r="B1447" s="6" t="s">
        <v>1100</v>
      </c>
      <c r="D1447" s="6"/>
    </row>
    <row r="1448">
      <c r="B1448" s="6" t="s">
        <v>1067</v>
      </c>
      <c r="D1448" s="6"/>
    </row>
    <row r="1449">
      <c r="B1449" s="6" t="s">
        <v>1100</v>
      </c>
      <c r="D1449" s="6"/>
    </row>
    <row r="1450">
      <c r="B1450" s="6" t="s">
        <v>1317</v>
      </c>
      <c r="D1450" s="6"/>
    </row>
    <row r="1451">
      <c r="B1451" s="6" t="s">
        <v>1092</v>
      </c>
      <c r="D1451" s="6"/>
    </row>
    <row r="1452">
      <c r="B1452" s="6" t="s">
        <v>1558</v>
      </c>
      <c r="C1452" s="6"/>
    </row>
    <row r="1453">
      <c r="B1453" s="6" t="s">
        <v>1067</v>
      </c>
    </row>
    <row r="1454">
      <c r="B1454" s="6" t="s">
        <v>1092</v>
      </c>
    </row>
    <row r="1455">
      <c r="B1455" s="6" t="s">
        <v>1092</v>
      </c>
    </row>
    <row r="1456">
      <c r="B1456" s="6" t="s">
        <v>1558</v>
      </c>
    </row>
    <row r="1457">
      <c r="B1457" s="6" t="s">
        <v>1083</v>
      </c>
    </row>
    <row r="1458">
      <c r="B1458" s="6" t="s">
        <v>48</v>
      </c>
    </row>
    <row r="1459">
      <c r="B1459" s="6" t="s">
        <v>2221</v>
      </c>
    </row>
    <row r="1460">
      <c r="B1460" s="6" t="s">
        <v>1058</v>
      </c>
    </row>
    <row r="1461">
      <c r="B1461" s="6"/>
      <c r="C1461" s="6" t="s">
        <v>2222</v>
      </c>
    </row>
    <row r="1462">
      <c r="B1462" s="6"/>
      <c r="C1462" s="6" t="s">
        <v>2223</v>
      </c>
    </row>
    <row r="1463">
      <c r="B1463" s="6"/>
      <c r="C1463" s="6" t="s">
        <v>2224</v>
      </c>
    </row>
    <row r="1464">
      <c r="B1464" s="6"/>
      <c r="C1464" s="6" t="s">
        <v>1710</v>
      </c>
    </row>
    <row r="1465">
      <c r="B1465" s="6"/>
      <c r="C1465" s="6" t="s">
        <v>1151</v>
      </c>
    </row>
    <row r="1466">
      <c r="B1466" s="6"/>
      <c r="C1466" s="6" t="s">
        <v>1058</v>
      </c>
    </row>
    <row r="1467">
      <c r="B1467" s="6"/>
      <c r="D1467" s="6" t="s">
        <v>2226</v>
      </c>
    </row>
    <row r="1468">
      <c r="B1468" s="6"/>
      <c r="D1468" s="6" t="s">
        <v>2227</v>
      </c>
    </row>
    <row r="1469">
      <c r="B1469" s="6"/>
      <c r="D1469" s="6" t="s">
        <v>2228</v>
      </c>
    </row>
    <row r="1470">
      <c r="B1470" s="6"/>
      <c r="D1470" s="6" t="s">
        <v>2229</v>
      </c>
    </row>
    <row r="1471">
      <c r="B1471" s="6"/>
      <c r="D1471" s="6" t="s">
        <v>2231</v>
      </c>
    </row>
    <row r="1472">
      <c r="B1472" s="6"/>
      <c r="D1472" s="6" t="s">
        <v>2232</v>
      </c>
    </row>
    <row r="1473">
      <c r="B1473" s="6"/>
      <c r="D1473" s="6" t="s">
        <v>2233</v>
      </c>
    </row>
    <row r="1474">
      <c r="B1474" s="6"/>
      <c r="D1474" s="6" t="s">
        <v>2234</v>
      </c>
    </row>
    <row r="1475">
      <c r="B1475" s="6"/>
      <c r="D1475" s="6" t="s">
        <v>2235</v>
      </c>
    </row>
    <row r="1476">
      <c r="B1476" s="6"/>
      <c r="D1476" s="6" t="s">
        <v>2237</v>
      </c>
    </row>
    <row r="1477">
      <c r="B1477" s="6"/>
      <c r="D1477" s="6" t="s">
        <v>2238</v>
      </c>
    </row>
    <row r="1478">
      <c r="B1478" s="6"/>
      <c r="D1478" s="6" t="s">
        <v>2239</v>
      </c>
    </row>
    <row r="1479">
      <c r="B1479" s="6"/>
      <c r="D1479" s="6" t="s">
        <v>2240</v>
      </c>
    </row>
    <row r="1480">
      <c r="B1480" s="6"/>
      <c r="C1480" s="6" t="s">
        <v>1310</v>
      </c>
    </row>
    <row r="1481">
      <c r="B1481" s="6" t="s">
        <v>1310</v>
      </c>
    </row>
    <row r="1482">
      <c r="B1482" s="6"/>
    </row>
    <row r="1483">
      <c r="B1483" s="6" t="s">
        <v>1060</v>
      </c>
    </row>
    <row r="1484">
      <c r="B1484" s="6" t="s">
        <v>1062</v>
      </c>
    </row>
    <row r="1485">
      <c r="B1485" s="6"/>
    </row>
    <row r="1486">
      <c r="B1486" s="6" t="s">
        <v>1074</v>
      </c>
    </row>
    <row r="1487">
      <c r="B1487" s="6" t="s">
        <v>1083</v>
      </c>
    </row>
    <row r="1488">
      <c r="B1488" s="6" t="s">
        <v>2242</v>
      </c>
    </row>
    <row r="1489">
      <c r="B1489" s="6" t="s">
        <v>1833</v>
      </c>
    </row>
    <row r="1490">
      <c r="B1490" s="6" t="s">
        <v>1849</v>
      </c>
    </row>
    <row r="1491">
      <c r="B1491" s="6" t="s">
        <v>2243</v>
      </c>
    </row>
    <row r="1492">
      <c r="B1492" s="6" t="s">
        <v>1329</v>
      </c>
    </row>
    <row r="1493">
      <c r="B1493" s="6" t="s">
        <v>2243</v>
      </c>
    </row>
    <row r="1494">
      <c r="B1494" s="6" t="s">
        <v>1074</v>
      </c>
    </row>
    <row r="1495">
      <c r="B1495" s="6" t="s">
        <v>2216</v>
      </c>
    </row>
    <row r="1496">
      <c r="B1496" s="6" t="s">
        <v>1108</v>
      </c>
    </row>
    <row r="1497">
      <c r="B1497" s="6" t="s">
        <v>1118</v>
      </c>
    </row>
    <row r="1498">
      <c r="B1498" s="6" t="s">
        <v>1101</v>
      </c>
    </row>
    <row r="1499">
      <c r="B1499" s="6" t="s">
        <v>1101</v>
      </c>
    </row>
    <row r="1500">
      <c r="B1500" s="6" t="s">
        <v>1083</v>
      </c>
    </row>
    <row r="1501">
      <c r="B1501" s="6" t="s">
        <v>2216</v>
      </c>
    </row>
    <row r="1502">
      <c r="B1502" s="6" t="s">
        <v>1315</v>
      </c>
    </row>
    <row r="1503">
      <c r="B1503" s="6" t="s">
        <v>1904</v>
      </c>
    </row>
    <row r="1504">
      <c r="B1504" s="6" t="s">
        <v>1118</v>
      </c>
    </row>
    <row r="1505">
      <c r="B1505" s="6" t="s">
        <v>2247</v>
      </c>
    </row>
    <row r="1506">
      <c r="B1506" s="6" t="s">
        <v>2248</v>
      </c>
    </row>
    <row r="1507">
      <c r="B1507" s="6" t="s">
        <v>1107</v>
      </c>
    </row>
    <row r="1508">
      <c r="B1508" s="6" t="s">
        <v>2249</v>
      </c>
    </row>
    <row r="1509">
      <c r="B1509" s="6" t="s">
        <v>1134</v>
      </c>
    </row>
    <row r="1510">
      <c r="B1510" s="6" t="s">
        <v>2250</v>
      </c>
    </row>
    <row r="1511">
      <c r="B1511" s="6" t="s">
        <v>2248</v>
      </c>
    </row>
    <row r="1512">
      <c r="B1512" s="6" t="s">
        <v>1073</v>
      </c>
    </row>
    <row r="1513">
      <c r="B1513" s="6" t="s">
        <v>1100</v>
      </c>
    </row>
    <row r="1514">
      <c r="B1514" s="6" t="s">
        <v>1083</v>
      </c>
    </row>
    <row r="1515">
      <c r="B1515" s="6" t="s">
        <v>1092</v>
      </c>
    </row>
    <row r="1516">
      <c r="B1516" s="6" t="s">
        <v>1114</v>
      </c>
    </row>
    <row r="1517">
      <c r="B1517" s="6" t="s">
        <v>1074</v>
      </c>
    </row>
    <row r="1518">
      <c r="B1518" s="6" t="s">
        <v>2208</v>
      </c>
    </row>
    <row r="1519">
      <c r="B1519" s="6" t="s">
        <v>1904</v>
      </c>
    </row>
    <row r="1520">
      <c r="B1520" s="6" t="s">
        <v>1118</v>
      </c>
    </row>
    <row r="1521">
      <c r="B1521" s="6" t="s">
        <v>1118</v>
      </c>
    </row>
    <row r="1522">
      <c r="B1522" s="6" t="s">
        <v>1315</v>
      </c>
    </row>
    <row r="1523">
      <c r="B1523" s="6" t="s">
        <v>1315</v>
      </c>
    </row>
    <row r="1524">
      <c r="B1524" s="6" t="s">
        <v>1114</v>
      </c>
    </row>
    <row r="1525">
      <c r="B1525" s="6" t="s">
        <v>2253</v>
      </c>
    </row>
    <row r="1526">
      <c r="B1526" s="6" t="s">
        <v>2249</v>
      </c>
    </row>
    <row r="1527">
      <c r="B1527" s="6" t="s">
        <v>2255</v>
      </c>
    </row>
    <row r="1528">
      <c r="B1528" s="6" t="s">
        <v>1104</v>
      </c>
    </row>
    <row r="1529">
      <c r="B1529" s="6" t="s">
        <v>1849</v>
      </c>
    </row>
    <row r="1530">
      <c r="B1530" s="6" t="s">
        <v>1347</v>
      </c>
    </row>
    <row r="1531">
      <c r="B1531" s="6" t="s">
        <v>2255</v>
      </c>
    </row>
    <row r="1532">
      <c r="B1532" s="6" t="s">
        <v>2242</v>
      </c>
    </row>
    <row r="1533">
      <c r="B1533" s="6" t="s">
        <v>1347</v>
      </c>
    </row>
    <row r="1534">
      <c r="B1534" s="6" t="s">
        <v>1100</v>
      </c>
    </row>
    <row r="1535">
      <c r="B1535" s="6" t="s">
        <v>2256</v>
      </c>
    </row>
    <row r="1536">
      <c r="B1536" s="6" t="s">
        <v>1312</v>
      </c>
    </row>
    <row r="1537">
      <c r="B1537" s="6" t="s">
        <v>2208</v>
      </c>
    </row>
    <row r="1538">
      <c r="B1538" s="6" t="s">
        <v>1092</v>
      </c>
    </row>
    <row r="1539">
      <c r="B1539" s="6" t="s">
        <v>1104</v>
      </c>
    </row>
    <row r="1540">
      <c r="B1540" s="6" t="s">
        <v>1347</v>
      </c>
    </row>
    <row r="1541">
      <c r="B1541" s="6" t="s">
        <v>2256</v>
      </c>
    </row>
    <row r="1542">
      <c r="B1542" s="6" t="s">
        <v>1100</v>
      </c>
    </row>
    <row r="1543">
      <c r="B1543" s="6" t="s">
        <v>1086</v>
      </c>
    </row>
    <row r="1544">
      <c r="B1544" s="6" t="s">
        <v>1312</v>
      </c>
    </row>
    <row r="1545">
      <c r="B1545" s="6" t="s">
        <v>2258</v>
      </c>
    </row>
    <row r="1546">
      <c r="B1546" s="6" t="s">
        <v>1092</v>
      </c>
    </row>
    <row r="1547">
      <c r="B1547" s="6" t="s">
        <v>2259</v>
      </c>
    </row>
    <row r="1548">
      <c r="B1548" s="6" t="s">
        <v>1849</v>
      </c>
    </row>
    <row r="1549">
      <c r="B1549" s="6" t="s">
        <v>1092</v>
      </c>
    </row>
    <row r="1550">
      <c r="B1550" s="6" t="s">
        <v>2260</v>
      </c>
    </row>
    <row r="1551">
      <c r="B1551" s="6" t="s">
        <v>2262</v>
      </c>
    </row>
    <row r="1552">
      <c r="B1552" s="6" t="s">
        <v>1101</v>
      </c>
    </row>
    <row r="1553">
      <c r="B1553" s="6" t="s">
        <v>1347</v>
      </c>
    </row>
    <row r="1554">
      <c r="B1554" s="6" t="s">
        <v>1114</v>
      </c>
    </row>
    <row r="1555">
      <c r="B1555" s="6" t="s">
        <v>1536</v>
      </c>
    </row>
    <row r="1556">
      <c r="B1556" s="6" t="s">
        <v>1086</v>
      </c>
    </row>
    <row r="1557">
      <c r="B1557" s="6" t="s">
        <v>2264</v>
      </c>
    </row>
    <row r="1558">
      <c r="B1558" s="6" t="s">
        <v>1342</v>
      </c>
    </row>
    <row r="1559">
      <c r="B1559" s="6" t="s">
        <v>1074</v>
      </c>
    </row>
    <row r="1560">
      <c r="B1560" s="6" t="s">
        <v>1140</v>
      </c>
    </row>
    <row r="1561">
      <c r="B1561" s="6" t="s">
        <v>1074</v>
      </c>
      <c r="C1561" s="6"/>
    </row>
    <row r="1562">
      <c r="B1562" s="6" t="s">
        <v>1083</v>
      </c>
      <c r="C1562" s="6"/>
    </row>
    <row r="1563">
      <c r="B1563" s="6" t="s">
        <v>1140</v>
      </c>
      <c r="C1563" s="6"/>
    </row>
    <row r="1564">
      <c r="B1564" s="6" t="s">
        <v>1329</v>
      </c>
      <c r="C1564" s="6"/>
    </row>
    <row r="1565">
      <c r="B1565" s="6" t="s">
        <v>1347</v>
      </c>
      <c r="C1565" s="6"/>
    </row>
    <row r="1566">
      <c r="B1566" s="6" t="s">
        <v>2266</v>
      </c>
      <c r="C1566" s="6"/>
    </row>
    <row r="1567">
      <c r="B1567" s="6" t="s">
        <v>1086</v>
      </c>
      <c r="D1567" s="6"/>
    </row>
    <row r="1568">
      <c r="B1568" s="6" t="s">
        <v>1067</v>
      </c>
      <c r="D1568" s="6"/>
    </row>
    <row r="1569">
      <c r="B1569" s="6" t="s">
        <v>1101</v>
      </c>
      <c r="D1569" s="6"/>
    </row>
    <row r="1570">
      <c r="B1570" s="6" t="s">
        <v>1849</v>
      </c>
      <c r="D1570" s="6"/>
    </row>
    <row r="1571">
      <c r="B1571" s="6" t="s">
        <v>1086</v>
      </c>
      <c r="D1571" s="6"/>
    </row>
    <row r="1572">
      <c r="B1572" s="6" t="s">
        <v>1092</v>
      </c>
      <c r="D1572" s="6"/>
    </row>
    <row r="1573">
      <c r="B1573" s="6" t="s">
        <v>2260</v>
      </c>
      <c r="D1573" s="6"/>
    </row>
    <row r="1574">
      <c r="B1574" s="6" t="s">
        <v>1116</v>
      </c>
      <c r="D1574" s="6"/>
    </row>
    <row r="1575">
      <c r="B1575" s="6" t="s">
        <v>1096</v>
      </c>
      <c r="D1575" s="6"/>
    </row>
    <row r="1576">
      <c r="B1576" s="6" t="s">
        <v>1353</v>
      </c>
      <c r="D1576" s="6"/>
    </row>
    <row r="1577">
      <c r="B1577" s="6" t="s">
        <v>1096</v>
      </c>
      <c r="D1577" s="6"/>
    </row>
    <row r="1578">
      <c r="B1578" s="6" t="s">
        <v>1536</v>
      </c>
      <c r="D1578" s="6"/>
    </row>
    <row r="1579">
      <c r="B1579" s="6" t="s">
        <v>1104</v>
      </c>
      <c r="D1579" s="6"/>
    </row>
    <row r="1580">
      <c r="B1580" s="6" t="s">
        <v>1136</v>
      </c>
      <c r="D1580" s="6"/>
    </row>
    <row r="1581">
      <c r="B1581" s="6" t="s">
        <v>2270</v>
      </c>
      <c r="D1581" s="6"/>
    </row>
    <row r="1582">
      <c r="B1582" s="6" t="s">
        <v>1114</v>
      </c>
      <c r="D1582" s="6"/>
    </row>
    <row r="1583">
      <c r="B1583" s="6" t="s">
        <v>1074</v>
      </c>
      <c r="D1583" s="6"/>
    </row>
    <row r="1584">
      <c r="B1584" s="6" t="s">
        <v>2272</v>
      </c>
      <c r="D1584" s="6"/>
    </row>
    <row r="1585">
      <c r="B1585" s="6" t="s">
        <v>1352</v>
      </c>
      <c r="D1585" s="6"/>
    </row>
    <row r="1586">
      <c r="B1586" s="6" t="s">
        <v>48</v>
      </c>
      <c r="D1586" s="6"/>
    </row>
    <row r="1587">
      <c r="B1587" s="6" t="s">
        <v>2273</v>
      </c>
      <c r="D1587" s="6"/>
    </row>
    <row r="1588">
      <c r="B1588" s="6" t="s">
        <v>1058</v>
      </c>
      <c r="D1588" s="6"/>
    </row>
    <row r="1589">
      <c r="C1589" s="6" t="s">
        <v>2274</v>
      </c>
      <c r="D1589" s="6"/>
    </row>
    <row r="1590">
      <c r="C1590" s="6" t="s">
        <v>2275</v>
      </c>
      <c r="D1590" s="6"/>
    </row>
    <row r="1591">
      <c r="C1591" s="6" t="s">
        <v>2276</v>
      </c>
      <c r="D1591" s="6"/>
    </row>
    <row r="1592">
      <c r="C1592" s="6" t="s">
        <v>1710</v>
      </c>
      <c r="D1592" s="6"/>
    </row>
    <row r="1593">
      <c r="C1593" s="6" t="s">
        <v>1151</v>
      </c>
      <c r="D1593" s="6"/>
    </row>
    <row r="1594">
      <c r="C1594" s="6" t="s">
        <v>1058</v>
      </c>
      <c r="D1594" s="6"/>
    </row>
    <row r="1595">
      <c r="D1595" s="6" t="s">
        <v>2278</v>
      </c>
    </row>
    <row r="1596">
      <c r="D1596" s="6" t="s">
        <v>2279</v>
      </c>
    </row>
    <row r="1597">
      <c r="D1597" s="6" t="s">
        <v>2280</v>
      </c>
    </row>
    <row r="1598">
      <c r="D1598" s="6" t="s">
        <v>2281</v>
      </c>
    </row>
    <row r="1599">
      <c r="D1599" s="6" t="s">
        <v>2282</v>
      </c>
    </row>
    <row r="1600">
      <c r="D1600" s="6" t="s">
        <v>2283</v>
      </c>
    </row>
    <row r="1601">
      <c r="D1601" s="6" t="s">
        <v>2284</v>
      </c>
    </row>
    <row r="1602">
      <c r="D1602" s="6" t="s">
        <v>2285</v>
      </c>
    </row>
    <row r="1603">
      <c r="D1603" s="6" t="s">
        <v>2286</v>
      </c>
    </row>
    <row r="1604">
      <c r="D1604" s="6" t="s">
        <v>2287</v>
      </c>
    </row>
    <row r="1605">
      <c r="D1605" s="6" t="s">
        <v>2288</v>
      </c>
    </row>
    <row r="1606">
      <c r="D1606" s="6" t="s">
        <v>2289</v>
      </c>
    </row>
    <row r="1607">
      <c r="D1607" s="6" t="s">
        <v>2290</v>
      </c>
    </row>
    <row r="1608">
      <c r="D1608" s="6" t="s">
        <v>2291</v>
      </c>
    </row>
    <row r="1609">
      <c r="D1609" s="6" t="s">
        <v>2292</v>
      </c>
    </row>
    <row r="1610">
      <c r="D1610" s="6" t="s">
        <v>2293</v>
      </c>
    </row>
    <row r="1611">
      <c r="D1611" s="6" t="s">
        <v>2294</v>
      </c>
    </row>
    <row r="1612">
      <c r="D1612" s="6" t="s">
        <v>2295</v>
      </c>
    </row>
    <row r="1613">
      <c r="D1613" s="6" t="s">
        <v>2296</v>
      </c>
    </row>
    <row r="1614">
      <c r="D1614" s="6" t="s">
        <v>2297</v>
      </c>
    </row>
    <row r="1615">
      <c r="D1615" s="6" t="s">
        <v>2298</v>
      </c>
    </row>
    <row r="1616">
      <c r="D1616" s="6" t="s">
        <v>2299</v>
      </c>
    </row>
    <row r="1617">
      <c r="D1617" s="6" t="s">
        <v>2300</v>
      </c>
    </row>
    <row r="1618">
      <c r="D1618" s="6" t="s">
        <v>2301</v>
      </c>
    </row>
    <row r="1619">
      <c r="D1619" s="6" t="s">
        <v>2302</v>
      </c>
    </row>
    <row r="1620">
      <c r="D1620" s="6" t="s">
        <v>2303</v>
      </c>
    </row>
    <row r="1621">
      <c r="D1621" s="6" t="s">
        <v>2304</v>
      </c>
    </row>
    <row r="1622">
      <c r="D1622" s="6" t="s">
        <v>2305</v>
      </c>
    </row>
    <row r="1623">
      <c r="D1623" s="6" t="s">
        <v>2306</v>
      </c>
    </row>
    <row r="1624">
      <c r="D1624" s="6" t="s">
        <v>2307</v>
      </c>
    </row>
    <row r="1625">
      <c r="D1625" s="6" t="s">
        <v>2308</v>
      </c>
    </row>
    <row r="1626">
      <c r="D1626" s="6" t="s">
        <v>2309</v>
      </c>
    </row>
    <row r="1627">
      <c r="D1627" s="6" t="s">
        <v>2310</v>
      </c>
    </row>
    <row r="1628">
      <c r="D1628" s="6" t="s">
        <v>2311</v>
      </c>
    </row>
    <row r="1629">
      <c r="D1629" s="6" t="s">
        <v>2312</v>
      </c>
    </row>
    <row r="1630">
      <c r="D1630" s="6" t="s">
        <v>2313</v>
      </c>
    </row>
    <row r="1631">
      <c r="D1631" s="6" t="s">
        <v>2314</v>
      </c>
    </row>
    <row r="1632">
      <c r="D1632" s="6" t="s">
        <v>2315</v>
      </c>
    </row>
    <row r="1633">
      <c r="D1633" s="6" t="s">
        <v>2316</v>
      </c>
    </row>
    <row r="1634">
      <c r="D1634" s="6" t="s">
        <v>2317</v>
      </c>
    </row>
    <row r="1635">
      <c r="D1635" s="6" t="s">
        <v>2318</v>
      </c>
    </row>
    <row r="1636">
      <c r="D1636" s="6" t="s">
        <v>2319</v>
      </c>
    </row>
    <row r="1637">
      <c r="D1637" s="6" t="s">
        <v>2320</v>
      </c>
    </row>
    <row r="1638">
      <c r="D1638" s="6" t="s">
        <v>2321</v>
      </c>
    </row>
    <row r="1639">
      <c r="D1639" s="6" t="s">
        <v>2322</v>
      </c>
    </row>
    <row r="1640">
      <c r="D1640" s="6" t="s">
        <v>2323</v>
      </c>
    </row>
    <row r="1641">
      <c r="D1641" s="6" t="s">
        <v>2324</v>
      </c>
    </row>
    <row r="1642">
      <c r="D1642" s="6" t="s">
        <v>2325</v>
      </c>
    </row>
    <row r="1643">
      <c r="D1643" s="6" t="s">
        <v>2326</v>
      </c>
    </row>
    <row r="1644">
      <c r="D1644" s="6" t="s">
        <v>2327</v>
      </c>
    </row>
    <row r="1645">
      <c r="D1645" s="6" t="s">
        <v>2328</v>
      </c>
    </row>
    <row r="1646">
      <c r="D1646" s="6" t="s">
        <v>2329</v>
      </c>
    </row>
    <row r="1647">
      <c r="D1647" s="6" t="s">
        <v>2330</v>
      </c>
    </row>
    <row r="1648">
      <c r="D1648" s="6" t="s">
        <v>2331</v>
      </c>
    </row>
    <row r="1649">
      <c r="D1649" s="6" t="s">
        <v>2332</v>
      </c>
    </row>
    <row r="1650">
      <c r="D1650" s="6" t="s">
        <v>2333</v>
      </c>
    </row>
    <row r="1651">
      <c r="D1651" s="6" t="s">
        <v>2334</v>
      </c>
    </row>
    <row r="1652">
      <c r="D1652" s="6" t="s">
        <v>2335</v>
      </c>
    </row>
    <row r="1653">
      <c r="D1653" s="6" t="s">
        <v>2336</v>
      </c>
    </row>
    <row r="1654">
      <c r="D1654" s="6" t="s">
        <v>2337</v>
      </c>
    </row>
    <row r="1655">
      <c r="D1655" s="6" t="s">
        <v>2338</v>
      </c>
    </row>
    <row r="1656">
      <c r="D1656" s="6" t="s">
        <v>2339</v>
      </c>
    </row>
    <row r="1657">
      <c r="D1657" s="6" t="s">
        <v>2340</v>
      </c>
    </row>
    <row r="1658">
      <c r="D1658" s="6" t="s">
        <v>2341</v>
      </c>
    </row>
    <row r="1659">
      <c r="D1659" s="6" t="s">
        <v>2342</v>
      </c>
    </row>
    <row r="1660">
      <c r="D1660" s="6" t="s">
        <v>2343</v>
      </c>
    </row>
    <row r="1661">
      <c r="D1661" s="6" t="s">
        <v>2344</v>
      </c>
    </row>
    <row r="1662">
      <c r="D1662" s="6" t="s">
        <v>2345</v>
      </c>
    </row>
    <row r="1663">
      <c r="D1663" s="6" t="s">
        <v>2346</v>
      </c>
    </row>
    <row r="1664">
      <c r="D1664" s="6" t="s">
        <v>2347</v>
      </c>
    </row>
    <row r="1665">
      <c r="D1665" s="6" t="s">
        <v>2348</v>
      </c>
    </row>
    <row r="1666">
      <c r="D1666" s="6" t="s">
        <v>2349</v>
      </c>
    </row>
    <row r="1667">
      <c r="D1667" s="6" t="s">
        <v>2350</v>
      </c>
    </row>
    <row r="1668">
      <c r="D1668" s="6" t="s">
        <v>2351</v>
      </c>
    </row>
    <row r="1669">
      <c r="D1669" s="6" t="s">
        <v>2352</v>
      </c>
    </row>
    <row r="1670">
      <c r="D1670" s="6" t="s">
        <v>2353</v>
      </c>
    </row>
    <row r="1671">
      <c r="D1671" s="6" t="s">
        <v>2354</v>
      </c>
    </row>
    <row r="1672">
      <c r="D1672" s="6" t="s">
        <v>2355</v>
      </c>
    </row>
    <row r="1673">
      <c r="D1673" s="6" t="s">
        <v>2356</v>
      </c>
    </row>
    <row r="1674">
      <c r="D1674" s="6" t="s">
        <v>2357</v>
      </c>
    </row>
    <row r="1675">
      <c r="D1675" s="6" t="s">
        <v>2358</v>
      </c>
    </row>
    <row r="1676">
      <c r="D1676" s="6" t="s">
        <v>2359</v>
      </c>
    </row>
    <row r="1677">
      <c r="D1677" s="6" t="s">
        <v>2360</v>
      </c>
    </row>
    <row r="1678">
      <c r="C1678" s="6"/>
      <c r="D1678" s="6" t="s">
        <v>2362</v>
      </c>
    </row>
    <row r="1679">
      <c r="B1679" s="6"/>
      <c r="D1679" s="6" t="s">
        <v>2364</v>
      </c>
    </row>
    <row r="1680">
      <c r="D1680" s="6" t="s">
        <v>2365</v>
      </c>
    </row>
    <row r="1681">
      <c r="B1681" s="6"/>
      <c r="D1681" s="6" t="s">
        <v>2366</v>
      </c>
    </row>
    <row r="1682">
      <c r="B1682" s="6"/>
      <c r="D1682" s="6" t="s">
        <v>2367</v>
      </c>
    </row>
    <row r="1683">
      <c r="D1683" s="6" t="s">
        <v>2368</v>
      </c>
    </row>
    <row r="1684">
      <c r="B1684" s="6"/>
      <c r="D1684" s="6" t="s">
        <v>2369</v>
      </c>
    </row>
    <row r="1685">
      <c r="B1685" s="6"/>
      <c r="D1685" s="6" t="s">
        <v>2370</v>
      </c>
    </row>
    <row r="1686">
      <c r="B1686" s="6"/>
      <c r="D1686" s="6" t="s">
        <v>2372</v>
      </c>
    </row>
    <row r="1687">
      <c r="B1687" s="6"/>
      <c r="D1687" s="6" t="s">
        <v>2373</v>
      </c>
    </row>
    <row r="1688">
      <c r="B1688" s="6"/>
      <c r="D1688" s="6" t="s">
        <v>2374</v>
      </c>
    </row>
    <row r="1689">
      <c r="B1689" s="6"/>
      <c r="D1689" s="6" t="s">
        <v>2375</v>
      </c>
    </row>
    <row r="1690">
      <c r="B1690" s="6"/>
      <c r="D1690" s="6" t="s">
        <v>2376</v>
      </c>
    </row>
    <row r="1691">
      <c r="B1691" s="6"/>
      <c r="D1691" s="6" t="s">
        <v>2377</v>
      </c>
    </row>
    <row r="1692">
      <c r="B1692" s="6"/>
      <c r="D1692" s="6" t="s">
        <v>2378</v>
      </c>
    </row>
    <row r="1693">
      <c r="B1693" s="6"/>
      <c r="D1693" s="6" t="s">
        <v>2379</v>
      </c>
    </row>
    <row r="1694">
      <c r="B1694" s="6"/>
      <c r="D1694" s="6" t="s">
        <v>2380</v>
      </c>
    </row>
    <row r="1695">
      <c r="B1695" s="6"/>
      <c r="D1695" s="6" t="s">
        <v>2382</v>
      </c>
    </row>
    <row r="1696">
      <c r="B1696" s="6"/>
      <c r="D1696" s="6" t="s">
        <v>2383</v>
      </c>
    </row>
    <row r="1697">
      <c r="B1697" s="6"/>
      <c r="D1697" s="6" t="s">
        <v>2384</v>
      </c>
    </row>
    <row r="1698">
      <c r="B1698" s="6"/>
      <c r="D1698" s="6" t="s">
        <v>2385</v>
      </c>
    </row>
    <row r="1699">
      <c r="B1699" s="6"/>
      <c r="D1699" s="6" t="s">
        <v>2386</v>
      </c>
    </row>
    <row r="1700">
      <c r="B1700" s="6"/>
      <c r="D1700" s="6" t="s">
        <v>2387</v>
      </c>
    </row>
    <row r="1701">
      <c r="B1701" s="6"/>
      <c r="D1701" s="6" t="s">
        <v>2389</v>
      </c>
    </row>
    <row r="1702">
      <c r="B1702" s="6"/>
      <c r="D1702" s="6" t="s">
        <v>2390</v>
      </c>
    </row>
    <row r="1703">
      <c r="B1703" s="6"/>
      <c r="D1703" s="6" t="s">
        <v>2391</v>
      </c>
    </row>
    <row r="1704">
      <c r="B1704" s="6"/>
      <c r="D1704" s="6" t="s">
        <v>2392</v>
      </c>
    </row>
    <row r="1705">
      <c r="B1705" s="6"/>
      <c r="D1705" s="6" t="s">
        <v>2393</v>
      </c>
    </row>
    <row r="1706">
      <c r="B1706" s="6"/>
      <c r="C1706" s="6" t="s">
        <v>1310</v>
      </c>
    </row>
    <row r="1707">
      <c r="B1707" s="6" t="s">
        <v>1310</v>
      </c>
    </row>
    <row r="1708">
      <c r="B1708" s="6"/>
    </row>
    <row r="1709">
      <c r="B1709" s="6" t="s">
        <v>1060</v>
      </c>
    </row>
    <row r="1710">
      <c r="B1710" s="6" t="s">
        <v>1062</v>
      </c>
    </row>
    <row r="1711">
      <c r="B1711" s="6"/>
    </row>
    <row r="1712">
      <c r="B1712" s="6" t="s">
        <v>1849</v>
      </c>
    </row>
    <row r="1713">
      <c r="B1713" s="6" t="s">
        <v>2394</v>
      </c>
    </row>
    <row r="1714">
      <c r="B1714" s="6" t="s">
        <v>1865</v>
      </c>
    </row>
    <row r="1715">
      <c r="B1715" s="6" t="s">
        <v>2395</v>
      </c>
    </row>
    <row r="1716">
      <c r="B1716" s="6" t="s">
        <v>1822</v>
      </c>
    </row>
    <row r="1717">
      <c r="B1717" s="6" t="s">
        <v>2396</v>
      </c>
    </row>
    <row r="1718">
      <c r="B1718" s="6" t="s">
        <v>2397</v>
      </c>
    </row>
    <row r="1719">
      <c r="B1719" s="6" t="s">
        <v>2398</v>
      </c>
    </row>
    <row r="1720">
      <c r="B1720" s="6" t="s">
        <v>1833</v>
      </c>
    </row>
    <row r="1721">
      <c r="B1721" s="6" t="s">
        <v>2399</v>
      </c>
    </row>
    <row r="1722">
      <c r="B1722" s="6" t="s">
        <v>2400</v>
      </c>
    </row>
    <row r="1723">
      <c r="B1723" s="6" t="s">
        <v>1100</v>
      </c>
    </row>
    <row r="1724">
      <c r="B1724" s="6" t="s">
        <v>2401</v>
      </c>
    </row>
    <row r="1725">
      <c r="B1725" s="6" t="s">
        <v>2402</v>
      </c>
    </row>
    <row r="1726">
      <c r="B1726" s="6" t="s">
        <v>2394</v>
      </c>
    </row>
    <row r="1727">
      <c r="B1727" s="6" t="s">
        <v>2403</v>
      </c>
    </row>
    <row r="1728">
      <c r="B1728" s="6" t="s">
        <v>2404</v>
      </c>
    </row>
    <row r="1729">
      <c r="B1729" s="6" t="s">
        <v>2405</v>
      </c>
    </row>
    <row r="1730">
      <c r="B1730" s="6" t="s">
        <v>2406</v>
      </c>
    </row>
    <row r="1731">
      <c r="B1731" s="6" t="s">
        <v>1892</v>
      </c>
    </row>
    <row r="1732">
      <c r="B1732" s="6" t="s">
        <v>2407</v>
      </c>
    </row>
    <row r="1733">
      <c r="B1733" s="6" t="s">
        <v>2408</v>
      </c>
    </row>
    <row r="1734">
      <c r="B1734" s="6" t="s">
        <v>2409</v>
      </c>
    </row>
    <row r="1735">
      <c r="B1735" s="6" t="s">
        <v>1826</v>
      </c>
    </row>
    <row r="1736">
      <c r="B1736" s="6" t="s">
        <v>2410</v>
      </c>
    </row>
    <row r="1737">
      <c r="B1737" s="6" t="s">
        <v>2411</v>
      </c>
    </row>
    <row r="1738">
      <c r="B1738" s="6" t="s">
        <v>2412</v>
      </c>
    </row>
    <row r="1739">
      <c r="B1739" s="6" t="s">
        <v>2413</v>
      </c>
    </row>
    <row r="1740">
      <c r="B1740" s="6" t="s">
        <v>2394</v>
      </c>
    </row>
    <row r="1741">
      <c r="B1741" s="6" t="s">
        <v>2394</v>
      </c>
    </row>
    <row r="1742">
      <c r="B1742" s="6" t="s">
        <v>1092</v>
      </c>
    </row>
    <row r="1743">
      <c r="B1743" s="6" t="s">
        <v>1833</v>
      </c>
    </row>
    <row r="1744">
      <c r="B1744" s="6" t="s">
        <v>2414</v>
      </c>
    </row>
    <row r="1745">
      <c r="B1745" s="6" t="s">
        <v>2415</v>
      </c>
    </row>
    <row r="1746">
      <c r="B1746" s="6" t="s">
        <v>2406</v>
      </c>
    </row>
    <row r="1747">
      <c r="B1747" s="6" t="s">
        <v>2416</v>
      </c>
    </row>
    <row r="1748">
      <c r="B1748" s="6" t="s">
        <v>1848</v>
      </c>
    </row>
    <row r="1749">
      <c r="B1749" s="6" t="s">
        <v>2417</v>
      </c>
    </row>
    <row r="1750">
      <c r="B1750" s="6" t="s">
        <v>1742</v>
      </c>
    </row>
    <row r="1751">
      <c r="B1751" s="6" t="s">
        <v>2418</v>
      </c>
    </row>
    <row r="1752">
      <c r="B1752" s="6" t="s">
        <v>1558</v>
      </c>
    </row>
    <row r="1753">
      <c r="B1753" s="6" t="s">
        <v>2419</v>
      </c>
    </row>
    <row r="1754">
      <c r="B1754" s="6" t="s">
        <v>2420</v>
      </c>
    </row>
    <row r="1755">
      <c r="B1755" s="6" t="s">
        <v>2421</v>
      </c>
    </row>
    <row r="1756">
      <c r="B1756" s="6" t="s">
        <v>2422</v>
      </c>
    </row>
    <row r="1757">
      <c r="B1757" s="6" t="s">
        <v>2423</v>
      </c>
    </row>
    <row r="1758">
      <c r="B1758" s="6" t="s">
        <v>2424</v>
      </c>
    </row>
    <row r="1759">
      <c r="B1759" s="6" t="s">
        <v>2422</v>
      </c>
    </row>
    <row r="1760">
      <c r="B1760" s="6" t="s">
        <v>2425</v>
      </c>
    </row>
    <row r="1761">
      <c r="B1761" s="6" t="s">
        <v>2426</v>
      </c>
    </row>
    <row r="1762">
      <c r="B1762" s="6" t="s">
        <v>1826</v>
      </c>
    </row>
    <row r="1763">
      <c r="B1763" s="6" t="s">
        <v>2427</v>
      </c>
    </row>
    <row r="1764">
      <c r="B1764" s="6" t="s">
        <v>2394</v>
      </c>
    </row>
    <row r="1765">
      <c r="B1765" s="6" t="s">
        <v>2428</v>
      </c>
    </row>
    <row r="1766">
      <c r="B1766" s="6" t="s">
        <v>2422</v>
      </c>
    </row>
    <row r="1767">
      <c r="B1767" s="6" t="s">
        <v>2429</v>
      </c>
    </row>
    <row r="1768">
      <c r="B1768" s="6" t="s">
        <v>2413</v>
      </c>
    </row>
    <row r="1769">
      <c r="B1769" s="6" t="s">
        <v>2430</v>
      </c>
    </row>
    <row r="1770">
      <c r="B1770" s="6" t="s">
        <v>2431</v>
      </c>
    </row>
    <row r="1771">
      <c r="B1771" s="6" t="s">
        <v>2432</v>
      </c>
    </row>
    <row r="1772">
      <c r="B1772" s="6" t="s">
        <v>2433</v>
      </c>
    </row>
    <row r="1773">
      <c r="B1773" s="6" t="s">
        <v>2434</v>
      </c>
    </row>
    <row r="1774">
      <c r="B1774" s="6" t="s">
        <v>2421</v>
      </c>
    </row>
    <row r="1775">
      <c r="B1775" s="6" t="s">
        <v>2433</v>
      </c>
    </row>
    <row r="1776">
      <c r="B1776" s="6" t="s">
        <v>2435</v>
      </c>
    </row>
    <row r="1777">
      <c r="B1777" s="6" t="s">
        <v>1876</v>
      </c>
    </row>
    <row r="1778">
      <c r="B1778" s="6" t="s">
        <v>2401</v>
      </c>
    </row>
    <row r="1779">
      <c r="B1779" s="6" t="s">
        <v>2422</v>
      </c>
    </row>
    <row r="1780">
      <c r="B1780" s="6" t="s">
        <v>1742</v>
      </c>
    </row>
    <row r="1781">
      <c r="B1781" s="6" t="s">
        <v>2436</v>
      </c>
    </row>
    <row r="1782">
      <c r="B1782" s="6" t="s">
        <v>2437</v>
      </c>
    </row>
    <row r="1783">
      <c r="B1783" s="6" t="s">
        <v>2438</v>
      </c>
    </row>
    <row r="1784">
      <c r="B1784" s="6" t="s">
        <v>2439</v>
      </c>
    </row>
    <row r="1785">
      <c r="B1785" s="6" t="s">
        <v>1833</v>
      </c>
    </row>
    <row r="1786">
      <c r="B1786" s="6" t="s">
        <v>2402</v>
      </c>
    </row>
    <row r="1787">
      <c r="B1787" s="6" t="s">
        <v>1817</v>
      </c>
      <c r="C1787" s="6"/>
    </row>
    <row r="1788">
      <c r="B1788" s="6" t="s">
        <v>1092</v>
      </c>
      <c r="C1788" s="6"/>
    </row>
    <row r="1789">
      <c r="B1789" s="6" t="s">
        <v>2402</v>
      </c>
      <c r="C1789" s="6"/>
    </row>
    <row r="1790">
      <c r="B1790" s="6" t="s">
        <v>2397</v>
      </c>
      <c r="C1790" s="6"/>
    </row>
    <row r="1791">
      <c r="B1791" s="6" t="s">
        <v>2440</v>
      </c>
      <c r="C1791" s="6"/>
    </row>
    <row r="1792">
      <c r="B1792" s="6" t="s">
        <v>2441</v>
      </c>
      <c r="C1792" s="6"/>
    </row>
    <row r="1793">
      <c r="B1793" s="6" t="s">
        <v>2437</v>
      </c>
      <c r="D1793" s="6"/>
    </row>
    <row r="1794">
      <c r="B1794" s="6" t="s">
        <v>1135</v>
      </c>
      <c r="D1794" s="6"/>
    </row>
    <row r="1795">
      <c r="B1795" s="6" t="s">
        <v>2442</v>
      </c>
      <c r="D1795" s="6"/>
    </row>
    <row r="1796">
      <c r="B1796" s="6" t="s">
        <v>2443</v>
      </c>
      <c r="D1796" s="6"/>
    </row>
    <row r="1797">
      <c r="B1797" s="6" t="s">
        <v>2430</v>
      </c>
      <c r="D1797" s="6"/>
    </row>
    <row r="1798">
      <c r="B1798" s="6" t="s">
        <v>2394</v>
      </c>
      <c r="D1798" s="6"/>
    </row>
    <row r="1799">
      <c r="B1799" s="6" t="s">
        <v>2435</v>
      </c>
      <c r="D1799" s="6"/>
    </row>
    <row r="1800">
      <c r="B1800" s="6" t="s">
        <v>2444</v>
      </c>
      <c r="D1800" s="6"/>
    </row>
    <row r="1801">
      <c r="B1801" s="6" t="s">
        <v>2413</v>
      </c>
      <c r="D1801" s="6"/>
    </row>
    <row r="1802">
      <c r="B1802" s="6" t="s">
        <v>2445</v>
      </c>
      <c r="D1802" s="6"/>
    </row>
    <row r="1803">
      <c r="B1803" s="6" t="s">
        <v>2413</v>
      </c>
      <c r="D1803" s="6"/>
    </row>
    <row r="1804">
      <c r="B1804" s="6" t="s">
        <v>2446</v>
      </c>
      <c r="D1804" s="6"/>
    </row>
    <row r="1805">
      <c r="B1805" s="6" t="s">
        <v>2428</v>
      </c>
      <c r="D1805" s="6"/>
    </row>
    <row r="1806">
      <c r="B1806" s="6" t="s">
        <v>2447</v>
      </c>
      <c r="D1806" s="6"/>
    </row>
    <row r="1807">
      <c r="B1807" s="6" t="s">
        <v>1877</v>
      </c>
      <c r="D1807" s="6"/>
    </row>
    <row r="1808">
      <c r="B1808" s="6" t="s">
        <v>1092</v>
      </c>
      <c r="D1808" s="6"/>
    </row>
    <row r="1809">
      <c r="B1809" s="6" t="s">
        <v>1817</v>
      </c>
      <c r="D1809" s="6"/>
    </row>
    <row r="1810">
      <c r="B1810" s="6" t="s">
        <v>1906</v>
      </c>
      <c r="D1810" s="6"/>
    </row>
    <row r="1811">
      <c r="B1811" s="6" t="s">
        <v>1847</v>
      </c>
      <c r="D1811" s="6"/>
    </row>
    <row r="1812">
      <c r="B1812" s="6" t="s">
        <v>48</v>
      </c>
      <c r="D1812" s="6"/>
    </row>
    <row r="1813">
      <c r="B1813" s="6" t="s">
        <v>2448</v>
      </c>
      <c r="D1813" s="6"/>
    </row>
    <row r="1814">
      <c r="B1814" s="6" t="s">
        <v>1058</v>
      </c>
      <c r="D1814" s="6"/>
    </row>
    <row r="1815">
      <c r="C1815" s="6" t="s">
        <v>2449</v>
      </c>
      <c r="D1815" s="6"/>
    </row>
    <row r="1816">
      <c r="C1816" s="6" t="s">
        <v>2450</v>
      </c>
      <c r="D1816" s="6"/>
    </row>
    <row r="1817">
      <c r="C1817" s="6" t="s">
        <v>2451</v>
      </c>
      <c r="D1817" s="6"/>
    </row>
    <row r="1818">
      <c r="C1818" s="6" t="s">
        <v>1710</v>
      </c>
      <c r="D1818" s="6"/>
    </row>
    <row r="1819">
      <c r="C1819" s="6" t="s">
        <v>1151</v>
      </c>
      <c r="D1819" s="6"/>
    </row>
    <row r="1820">
      <c r="C1820" s="6" t="s">
        <v>1058</v>
      </c>
      <c r="D1820" s="6"/>
    </row>
    <row r="1821">
      <c r="D1821" s="6" t="s">
        <v>2452</v>
      </c>
    </row>
    <row r="1822">
      <c r="D1822" s="6" t="s">
        <v>2453</v>
      </c>
    </row>
    <row r="1823">
      <c r="D1823" s="6" t="s">
        <v>2454</v>
      </c>
    </row>
    <row r="1824">
      <c r="D1824" s="6" t="s">
        <v>2455</v>
      </c>
    </row>
    <row r="1825">
      <c r="D1825" s="6" t="s">
        <v>2456</v>
      </c>
    </row>
    <row r="1826">
      <c r="D1826" s="6" t="s">
        <v>2458</v>
      </c>
    </row>
    <row r="1827">
      <c r="D1827" s="6" t="s">
        <v>2460</v>
      </c>
    </row>
    <row r="1828">
      <c r="D1828" s="6" t="s">
        <v>2461</v>
      </c>
    </row>
    <row r="1829">
      <c r="D1829" s="6" t="s">
        <v>2462</v>
      </c>
    </row>
    <row r="1830">
      <c r="D1830" s="6" t="s">
        <v>2463</v>
      </c>
    </row>
    <row r="1831">
      <c r="D1831" s="6" t="s">
        <v>2464</v>
      </c>
    </row>
    <row r="1832">
      <c r="D1832" s="6" t="s">
        <v>2465</v>
      </c>
    </row>
    <row r="1833">
      <c r="D1833" s="6" t="s">
        <v>2466</v>
      </c>
    </row>
    <row r="1834">
      <c r="D1834" s="6" t="s">
        <v>2468</v>
      </c>
    </row>
    <row r="1835">
      <c r="D1835" s="6" t="s">
        <v>2470</v>
      </c>
    </row>
    <row r="1836">
      <c r="D1836" s="6" t="s">
        <v>2471</v>
      </c>
    </row>
    <row r="1837">
      <c r="D1837" s="6" t="s">
        <v>2472</v>
      </c>
    </row>
    <row r="1838">
      <c r="D1838" s="6" t="s">
        <v>2473</v>
      </c>
    </row>
    <row r="1839">
      <c r="D1839" s="6" t="s">
        <v>2474</v>
      </c>
    </row>
    <row r="1840">
      <c r="D1840" s="6" t="s">
        <v>2475</v>
      </c>
    </row>
    <row r="1841">
      <c r="D1841" s="6" t="s">
        <v>2476</v>
      </c>
    </row>
    <row r="1842">
      <c r="D1842" s="6" t="s">
        <v>2477</v>
      </c>
    </row>
    <row r="1843">
      <c r="D1843" s="6" t="s">
        <v>2478</v>
      </c>
    </row>
    <row r="1844">
      <c r="D1844" s="6" t="s">
        <v>2480</v>
      </c>
    </row>
    <row r="1845">
      <c r="D1845" s="6" t="s">
        <v>2481</v>
      </c>
    </row>
    <row r="1846">
      <c r="D1846" s="6" t="s">
        <v>2482</v>
      </c>
    </row>
    <row r="1847">
      <c r="D1847" s="6" t="s">
        <v>2483</v>
      </c>
    </row>
    <row r="1848">
      <c r="D1848" s="6" t="s">
        <v>2484</v>
      </c>
    </row>
    <row r="1849">
      <c r="D1849" s="6" t="s">
        <v>2485</v>
      </c>
    </row>
    <row r="1850">
      <c r="D1850" s="6" t="s">
        <v>2487</v>
      </c>
    </row>
    <row r="1851">
      <c r="D1851" s="6" t="s">
        <v>2488</v>
      </c>
    </row>
    <row r="1852">
      <c r="D1852" s="6" t="s">
        <v>2489</v>
      </c>
    </row>
    <row r="1853">
      <c r="D1853" s="6" t="s">
        <v>2490</v>
      </c>
    </row>
    <row r="1854">
      <c r="D1854" s="6" t="s">
        <v>2491</v>
      </c>
    </row>
    <row r="1855">
      <c r="D1855" s="6" t="s">
        <v>2492</v>
      </c>
    </row>
    <row r="1856">
      <c r="D1856" s="6" t="s">
        <v>2493</v>
      </c>
    </row>
    <row r="1857">
      <c r="D1857" s="6" t="s">
        <v>2494</v>
      </c>
    </row>
    <row r="1858">
      <c r="D1858" s="6" t="s">
        <v>2495</v>
      </c>
    </row>
    <row r="1859">
      <c r="D1859" s="6" t="s">
        <v>2497</v>
      </c>
    </row>
    <row r="1860">
      <c r="D1860" s="6" t="s">
        <v>2498</v>
      </c>
    </row>
    <row r="1861">
      <c r="D1861" s="6" t="s">
        <v>2499</v>
      </c>
    </row>
    <row r="1862">
      <c r="D1862" s="6" t="s">
        <v>2500</v>
      </c>
    </row>
    <row r="1863">
      <c r="D1863" s="6" t="s">
        <v>2501</v>
      </c>
    </row>
    <row r="1864">
      <c r="D1864" s="6" t="s">
        <v>2502</v>
      </c>
    </row>
    <row r="1865">
      <c r="D1865" s="6" t="s">
        <v>2503</v>
      </c>
    </row>
    <row r="1866">
      <c r="D1866" s="6" t="s">
        <v>2504</v>
      </c>
    </row>
    <row r="1867">
      <c r="D1867" s="6" t="s">
        <v>2505</v>
      </c>
    </row>
    <row r="1868">
      <c r="D1868" s="6" t="s">
        <v>2506</v>
      </c>
    </row>
    <row r="1869">
      <c r="D1869" s="6" t="s">
        <v>2507</v>
      </c>
    </row>
    <row r="1870">
      <c r="D1870" s="6" t="s">
        <v>2508</v>
      </c>
    </row>
    <row r="1871">
      <c r="D1871" s="6" t="s">
        <v>2509</v>
      </c>
    </row>
    <row r="1872">
      <c r="D1872" s="6" t="s">
        <v>2510</v>
      </c>
    </row>
    <row r="1873">
      <c r="D1873" s="6" t="s">
        <v>2511</v>
      </c>
    </row>
    <row r="1874">
      <c r="D1874" s="6" t="s">
        <v>2512</v>
      </c>
    </row>
    <row r="1875">
      <c r="D1875" s="6" t="s">
        <v>2513</v>
      </c>
    </row>
    <row r="1876">
      <c r="D1876" s="6" t="s">
        <v>2514</v>
      </c>
    </row>
    <row r="1877">
      <c r="D1877" s="6" t="s">
        <v>2515</v>
      </c>
    </row>
    <row r="1878">
      <c r="D1878" s="6" t="s">
        <v>2516</v>
      </c>
    </row>
    <row r="1879">
      <c r="D1879" s="6" t="s">
        <v>2517</v>
      </c>
    </row>
    <row r="1880">
      <c r="D1880" s="6" t="s">
        <v>2518</v>
      </c>
    </row>
    <row r="1881">
      <c r="D1881" s="6" t="s">
        <v>2519</v>
      </c>
    </row>
    <row r="1882">
      <c r="D1882" s="6" t="s">
        <v>2520</v>
      </c>
    </row>
    <row r="1883">
      <c r="D1883" s="6" t="s">
        <v>2521</v>
      </c>
    </row>
    <row r="1884">
      <c r="D1884" s="6" t="s">
        <v>2522</v>
      </c>
    </row>
    <row r="1885">
      <c r="D1885" s="6" t="s">
        <v>2523</v>
      </c>
    </row>
    <row r="1886">
      <c r="D1886" s="6" t="s">
        <v>2524</v>
      </c>
    </row>
    <row r="1887">
      <c r="D1887" s="6" t="s">
        <v>2525</v>
      </c>
    </row>
    <row r="1888">
      <c r="D1888" s="6" t="s">
        <v>2526</v>
      </c>
    </row>
    <row r="1889">
      <c r="D1889" s="6" t="s">
        <v>2527</v>
      </c>
    </row>
    <row r="1890">
      <c r="D1890" s="6" t="s">
        <v>2528</v>
      </c>
    </row>
    <row r="1891">
      <c r="D1891" s="6" t="s">
        <v>2529</v>
      </c>
    </row>
    <row r="1892">
      <c r="D1892" s="6" t="s">
        <v>2530</v>
      </c>
    </row>
    <row r="1893">
      <c r="D1893" s="6" t="s">
        <v>2531</v>
      </c>
    </row>
    <row r="1894">
      <c r="D1894" s="6" t="s">
        <v>2532</v>
      </c>
    </row>
    <row r="1895">
      <c r="D1895" s="6" t="s">
        <v>2533</v>
      </c>
    </row>
    <row r="1896">
      <c r="D1896" s="6" t="s">
        <v>2534</v>
      </c>
    </row>
    <row r="1897">
      <c r="D1897" s="6" t="s">
        <v>2535</v>
      </c>
    </row>
    <row r="1898">
      <c r="D1898" s="6" t="s">
        <v>2536</v>
      </c>
    </row>
    <row r="1899">
      <c r="D1899" s="6" t="s">
        <v>2537</v>
      </c>
    </row>
    <row r="1900">
      <c r="D1900" s="6" t="s">
        <v>2538</v>
      </c>
    </row>
    <row r="1901">
      <c r="D1901" s="6" t="s">
        <v>2539</v>
      </c>
    </row>
    <row r="1902">
      <c r="D1902" s="6" t="s">
        <v>2540</v>
      </c>
    </row>
    <row r="1903">
      <c r="D1903" s="6" t="s">
        <v>2541</v>
      </c>
    </row>
    <row r="1904">
      <c r="D1904" s="6" t="s">
        <v>2542</v>
      </c>
    </row>
    <row r="1905">
      <c r="D1905" s="6" t="s">
        <v>2543</v>
      </c>
    </row>
    <row r="1906">
      <c r="D1906" s="6" t="s">
        <v>2544</v>
      </c>
    </row>
    <row r="1907">
      <c r="D1907" s="6" t="s">
        <v>2545</v>
      </c>
    </row>
    <row r="1908">
      <c r="D1908" s="6" t="s">
        <v>2546</v>
      </c>
    </row>
    <row r="1909">
      <c r="D1909" s="6" t="s">
        <v>2547</v>
      </c>
    </row>
    <row r="1910">
      <c r="D1910" s="6" t="s">
        <v>2548</v>
      </c>
    </row>
    <row r="1911">
      <c r="D1911" s="6" t="s">
        <v>2549</v>
      </c>
    </row>
    <row r="1912">
      <c r="D1912" s="6" t="s">
        <v>2550</v>
      </c>
    </row>
    <row r="1913">
      <c r="D1913" s="6" t="s">
        <v>2551</v>
      </c>
    </row>
    <row r="1914">
      <c r="D1914" s="6" t="s">
        <v>2552</v>
      </c>
    </row>
    <row r="1915">
      <c r="D1915" s="6" t="s">
        <v>2553</v>
      </c>
    </row>
    <row r="1916">
      <c r="D1916" s="6" t="s">
        <v>2554</v>
      </c>
    </row>
    <row r="1917">
      <c r="D1917" s="6" t="s">
        <v>2555</v>
      </c>
    </row>
    <row r="1918">
      <c r="D1918" s="6" t="s">
        <v>2556</v>
      </c>
    </row>
    <row r="1919">
      <c r="D1919" s="6" t="s">
        <v>2557</v>
      </c>
    </row>
    <row r="1920">
      <c r="D1920" s="6" t="s">
        <v>2558</v>
      </c>
    </row>
    <row r="1921">
      <c r="D1921" s="6" t="s">
        <v>2559</v>
      </c>
    </row>
    <row r="1922">
      <c r="D1922" s="6" t="s">
        <v>2560</v>
      </c>
    </row>
    <row r="1923">
      <c r="D1923" s="6" t="s">
        <v>2561</v>
      </c>
    </row>
    <row r="1924">
      <c r="D1924" s="6" t="s">
        <v>2562</v>
      </c>
    </row>
    <row r="1925">
      <c r="D1925" s="6" t="s">
        <v>2563</v>
      </c>
    </row>
    <row r="1926">
      <c r="D1926" s="6" t="s">
        <v>2564</v>
      </c>
    </row>
    <row r="1927">
      <c r="D1927" s="6" t="s">
        <v>2565</v>
      </c>
    </row>
    <row r="1928">
      <c r="D1928" s="6" t="s">
        <v>2566</v>
      </c>
    </row>
    <row r="1929">
      <c r="D1929" s="6" t="s">
        <v>2567</v>
      </c>
    </row>
    <row r="1930">
      <c r="D1930" s="6" t="s">
        <v>2568</v>
      </c>
    </row>
    <row r="1931">
      <c r="D1931" s="6" t="s">
        <v>2569</v>
      </c>
    </row>
    <row r="1932">
      <c r="D1932" s="6" t="s">
        <v>2570</v>
      </c>
    </row>
    <row r="1933">
      <c r="D1933" s="6" t="s">
        <v>2571</v>
      </c>
    </row>
    <row r="1934">
      <c r="D1934" s="6" t="s">
        <v>2572</v>
      </c>
    </row>
    <row r="1935">
      <c r="D1935" s="6" t="s">
        <v>2573</v>
      </c>
    </row>
    <row r="1936">
      <c r="D1936" s="6" t="s">
        <v>2574</v>
      </c>
    </row>
    <row r="1937">
      <c r="D1937" s="6" t="s">
        <v>2575</v>
      </c>
    </row>
    <row r="1938">
      <c r="D1938" s="6" t="s">
        <v>2576</v>
      </c>
    </row>
    <row r="1939">
      <c r="D1939" s="6" t="s">
        <v>2577</v>
      </c>
    </row>
    <row r="1940">
      <c r="D1940" s="6" t="s">
        <v>2578</v>
      </c>
    </row>
    <row r="1941">
      <c r="D1941" s="6" t="s">
        <v>2579</v>
      </c>
    </row>
    <row r="1942">
      <c r="D1942" s="6" t="s">
        <v>2580</v>
      </c>
    </row>
    <row r="1943">
      <c r="D1943" s="6" t="s">
        <v>2581</v>
      </c>
    </row>
    <row r="1944">
      <c r="D1944" s="6" t="s">
        <v>2582</v>
      </c>
    </row>
    <row r="1945">
      <c r="D1945" s="6" t="s">
        <v>2583</v>
      </c>
    </row>
    <row r="1946">
      <c r="D1946" s="6" t="s">
        <v>2584</v>
      </c>
    </row>
    <row r="1947">
      <c r="D1947" s="6" t="s">
        <v>2585</v>
      </c>
    </row>
    <row r="1948">
      <c r="D1948" s="6" t="s">
        <v>2586</v>
      </c>
    </row>
    <row r="1949">
      <c r="D1949" s="6" t="s">
        <v>2587</v>
      </c>
    </row>
    <row r="1950">
      <c r="D1950" s="6" t="s">
        <v>2588</v>
      </c>
    </row>
    <row r="1951">
      <c r="D1951" s="6" t="s">
        <v>2589</v>
      </c>
    </row>
    <row r="1952">
      <c r="D1952" s="6" t="s">
        <v>2590</v>
      </c>
    </row>
    <row r="1953">
      <c r="D1953" s="6" t="s">
        <v>2591</v>
      </c>
    </row>
    <row r="1954">
      <c r="D1954" s="6" t="s">
        <v>2592</v>
      </c>
    </row>
    <row r="1955">
      <c r="D1955" s="6" t="s">
        <v>2593</v>
      </c>
    </row>
    <row r="1956">
      <c r="D1956" s="6" t="s">
        <v>2594</v>
      </c>
    </row>
    <row r="1957">
      <c r="D1957" s="6" t="s">
        <v>2595</v>
      </c>
    </row>
    <row r="1958">
      <c r="D1958" s="6" t="s">
        <v>2596</v>
      </c>
    </row>
    <row r="1959">
      <c r="D1959" s="6" t="s">
        <v>2597</v>
      </c>
    </row>
    <row r="1960">
      <c r="D1960" s="6" t="s">
        <v>2598</v>
      </c>
    </row>
    <row r="1961">
      <c r="D1961" s="6" t="s">
        <v>2599</v>
      </c>
    </row>
    <row r="1962">
      <c r="D1962" s="6" t="s">
        <v>2600</v>
      </c>
    </row>
    <row r="1963">
      <c r="D1963" s="6" t="s">
        <v>2601</v>
      </c>
    </row>
    <row r="1964">
      <c r="D1964" s="6" t="s">
        <v>2602</v>
      </c>
    </row>
    <row r="1965">
      <c r="D1965" s="6" t="s">
        <v>2603</v>
      </c>
    </row>
    <row r="1966">
      <c r="D1966" s="6" t="s">
        <v>2604</v>
      </c>
    </row>
    <row r="1967">
      <c r="D1967" s="6" t="s">
        <v>2605</v>
      </c>
    </row>
    <row r="1968">
      <c r="D1968" s="6" t="s">
        <v>2606</v>
      </c>
    </row>
    <row r="1969">
      <c r="D1969" s="6" t="s">
        <v>2607</v>
      </c>
    </row>
    <row r="1970">
      <c r="D1970" s="6" t="s">
        <v>2608</v>
      </c>
    </row>
    <row r="1971">
      <c r="D1971" s="6" t="s">
        <v>2609</v>
      </c>
    </row>
    <row r="1972">
      <c r="D1972" s="6" t="s">
        <v>2610</v>
      </c>
    </row>
    <row r="1973">
      <c r="D1973" s="6" t="s">
        <v>2611</v>
      </c>
    </row>
    <row r="1974">
      <c r="D1974" s="6" t="s">
        <v>2612</v>
      </c>
    </row>
    <row r="1975">
      <c r="D1975" s="6" t="s">
        <v>2614</v>
      </c>
    </row>
    <row r="1976">
      <c r="D1976" s="6" t="s">
        <v>2616</v>
      </c>
    </row>
    <row r="1977">
      <c r="D1977" s="6" t="s">
        <v>2617</v>
      </c>
    </row>
    <row r="1978">
      <c r="D1978" s="6" t="s">
        <v>2618</v>
      </c>
    </row>
    <row r="1979">
      <c r="D1979" s="6" t="s">
        <v>2619</v>
      </c>
    </row>
    <row r="1980">
      <c r="D1980" s="6" t="s">
        <v>2620</v>
      </c>
    </row>
    <row r="1981">
      <c r="D1981" s="6" t="s">
        <v>2621</v>
      </c>
    </row>
    <row r="1982">
      <c r="D1982" s="6" t="s">
        <v>2622</v>
      </c>
    </row>
    <row r="1983">
      <c r="D1983" s="6" t="s">
        <v>2625</v>
      </c>
    </row>
    <row r="1984">
      <c r="D1984" s="6" t="s">
        <v>2626</v>
      </c>
    </row>
    <row r="1985">
      <c r="D1985" s="6" t="s">
        <v>2627</v>
      </c>
    </row>
    <row r="1986">
      <c r="D1986" s="6" t="s">
        <v>2628</v>
      </c>
    </row>
    <row r="1987">
      <c r="D1987" s="6" t="s">
        <v>2630</v>
      </c>
    </row>
    <row r="1988">
      <c r="D1988" s="6" t="s">
        <v>2632</v>
      </c>
    </row>
    <row r="1989">
      <c r="D1989" s="6" t="s">
        <v>2633</v>
      </c>
    </row>
    <row r="1990">
      <c r="D1990" s="6" t="s">
        <v>2634</v>
      </c>
    </row>
    <row r="1991">
      <c r="D1991" s="6" t="s">
        <v>2635</v>
      </c>
    </row>
    <row r="1992">
      <c r="D1992" s="6" t="s">
        <v>2636</v>
      </c>
    </row>
    <row r="1993">
      <c r="D1993" s="6" t="s">
        <v>2639</v>
      </c>
    </row>
    <row r="1994">
      <c r="D1994" s="6" t="s">
        <v>2640</v>
      </c>
    </row>
    <row r="1995">
      <c r="D1995" s="6" t="s">
        <v>2641</v>
      </c>
    </row>
    <row r="1996">
      <c r="D1996" s="6" t="s">
        <v>2642</v>
      </c>
    </row>
    <row r="1997">
      <c r="D1997" s="6" t="s">
        <v>2643</v>
      </c>
    </row>
    <row r="1998">
      <c r="D1998" s="6" t="s">
        <v>2646</v>
      </c>
    </row>
    <row r="1999">
      <c r="D1999" s="6" t="s">
        <v>2647</v>
      </c>
    </row>
    <row r="2000">
      <c r="D2000" s="6" t="s">
        <v>2648</v>
      </c>
    </row>
    <row r="2001">
      <c r="D2001" s="6" t="s">
        <v>2649</v>
      </c>
    </row>
    <row r="2002">
      <c r="D2002" s="6" t="s">
        <v>2651</v>
      </c>
    </row>
    <row r="2003">
      <c r="D2003" s="6" t="s">
        <v>2653</v>
      </c>
    </row>
    <row r="2004">
      <c r="D2004" s="6" t="s">
        <v>2654</v>
      </c>
    </row>
    <row r="2005">
      <c r="D2005" s="6" t="s">
        <v>2655</v>
      </c>
    </row>
    <row r="2006">
      <c r="D2006" s="6" t="s">
        <v>2656</v>
      </c>
    </row>
    <row r="2007">
      <c r="D2007" s="6" t="s">
        <v>2658</v>
      </c>
    </row>
    <row r="2008">
      <c r="D2008" s="6" t="s">
        <v>2660</v>
      </c>
    </row>
    <row r="2009">
      <c r="D2009" s="6" t="s">
        <v>2661</v>
      </c>
    </row>
    <row r="2010">
      <c r="D2010" s="6" t="s">
        <v>2662</v>
      </c>
    </row>
    <row r="2011">
      <c r="D2011" s="6" t="s">
        <v>2663</v>
      </c>
    </row>
    <row r="2012">
      <c r="D2012" s="6" t="s">
        <v>2666</v>
      </c>
    </row>
    <row r="2013">
      <c r="D2013" s="6" t="s">
        <v>2667</v>
      </c>
    </row>
    <row r="2014">
      <c r="D2014" s="6" t="s">
        <v>2668</v>
      </c>
    </row>
    <row r="2015">
      <c r="D2015" s="6" t="s">
        <v>2669</v>
      </c>
    </row>
    <row r="2016">
      <c r="D2016" s="6" t="s">
        <v>2670</v>
      </c>
    </row>
    <row r="2017">
      <c r="D2017" s="6" t="s">
        <v>2671</v>
      </c>
    </row>
    <row r="2018">
      <c r="D2018" s="6" t="s">
        <v>2672</v>
      </c>
    </row>
    <row r="2019">
      <c r="D2019" s="6" t="s">
        <v>2674</v>
      </c>
    </row>
    <row r="2020">
      <c r="D2020" s="6" t="s">
        <v>2675</v>
      </c>
    </row>
    <row r="2021">
      <c r="D2021" s="6" t="s">
        <v>2676</v>
      </c>
    </row>
    <row r="2022">
      <c r="D2022" s="6" t="s">
        <v>2677</v>
      </c>
    </row>
    <row r="2023">
      <c r="D2023" s="6" t="s">
        <v>2678</v>
      </c>
    </row>
    <row r="2024">
      <c r="D2024" s="6" t="s">
        <v>2679</v>
      </c>
    </row>
    <row r="2025">
      <c r="D2025" s="6" t="s">
        <v>2680</v>
      </c>
    </row>
    <row r="2026">
      <c r="D2026" s="6" t="s">
        <v>2681</v>
      </c>
    </row>
    <row r="2027">
      <c r="D2027" s="6" t="s">
        <v>2682</v>
      </c>
    </row>
    <row r="2028">
      <c r="D2028" s="6" t="s">
        <v>2683</v>
      </c>
    </row>
    <row r="2029">
      <c r="D2029" s="6" t="s">
        <v>2684</v>
      </c>
    </row>
    <row r="2030">
      <c r="D2030" s="6" t="s">
        <v>2685</v>
      </c>
    </row>
    <row r="2031">
      <c r="D2031" s="6" t="s">
        <v>2686</v>
      </c>
    </row>
    <row r="2032">
      <c r="D2032" s="6" t="s">
        <v>2687</v>
      </c>
    </row>
    <row r="2033">
      <c r="D2033" s="6" t="s">
        <v>2688</v>
      </c>
    </row>
    <row r="2034">
      <c r="D2034" s="6" t="s">
        <v>2689</v>
      </c>
    </row>
    <row r="2035">
      <c r="D2035" s="6" t="s">
        <v>2690</v>
      </c>
    </row>
    <row r="2036">
      <c r="D2036" s="6" t="s">
        <v>2691</v>
      </c>
    </row>
    <row r="2037">
      <c r="D2037" s="6" t="s">
        <v>2692</v>
      </c>
    </row>
    <row r="2038">
      <c r="D2038" s="6" t="s">
        <v>2693</v>
      </c>
    </row>
    <row r="2039">
      <c r="D2039" s="6" t="s">
        <v>2694</v>
      </c>
    </row>
    <row r="2040">
      <c r="D2040" s="6" t="s">
        <v>2695</v>
      </c>
    </row>
    <row r="2041">
      <c r="C2041" s="6"/>
      <c r="D2041" s="6" t="s">
        <v>2696</v>
      </c>
    </row>
    <row r="2042">
      <c r="B2042" s="6"/>
      <c r="D2042" s="6" t="s">
        <v>2697</v>
      </c>
    </row>
    <row r="2043">
      <c r="D2043" s="6" t="s">
        <v>2698</v>
      </c>
    </row>
    <row r="2044">
      <c r="B2044" s="6"/>
      <c r="D2044" s="6" t="s">
        <v>2699</v>
      </c>
    </row>
    <row r="2045">
      <c r="B2045" s="6"/>
      <c r="D2045" s="6" t="s">
        <v>2700</v>
      </c>
    </row>
    <row r="2046">
      <c r="D2046" s="6" t="s">
        <v>2701</v>
      </c>
    </row>
    <row r="2047">
      <c r="B2047" s="6"/>
      <c r="D2047" s="6" t="s">
        <v>2702</v>
      </c>
    </row>
    <row r="2048">
      <c r="B2048" s="6"/>
      <c r="D2048" s="6" t="s">
        <v>2703</v>
      </c>
    </row>
    <row r="2049">
      <c r="B2049" s="6"/>
      <c r="D2049" s="6" t="s">
        <v>2704</v>
      </c>
    </row>
    <row r="2050">
      <c r="B2050" s="6"/>
      <c r="D2050" s="6" t="s">
        <v>2705</v>
      </c>
    </row>
    <row r="2051">
      <c r="B2051" s="6"/>
      <c r="D2051" s="6" t="s">
        <v>2706</v>
      </c>
    </row>
    <row r="2052">
      <c r="B2052" s="6"/>
      <c r="D2052" s="6" t="s">
        <v>2708</v>
      </c>
    </row>
    <row r="2053">
      <c r="B2053" s="6"/>
      <c r="D2053" s="6" t="s">
        <v>2709</v>
      </c>
    </row>
    <row r="2054">
      <c r="B2054" s="6"/>
      <c r="D2054" s="6" t="s">
        <v>2710</v>
      </c>
    </row>
    <row r="2055">
      <c r="B2055" s="6"/>
      <c r="D2055" s="6" t="s">
        <v>2712</v>
      </c>
    </row>
    <row r="2056">
      <c r="B2056" s="6"/>
      <c r="D2056" s="6" t="s">
        <v>2713</v>
      </c>
    </row>
    <row r="2057">
      <c r="B2057" s="6"/>
      <c r="D2057" s="6" t="s">
        <v>2714</v>
      </c>
    </row>
    <row r="2058">
      <c r="B2058" s="6"/>
      <c r="D2058" s="6" t="s">
        <v>2715</v>
      </c>
    </row>
    <row r="2059">
      <c r="B2059" s="6"/>
      <c r="D2059" s="6" t="s">
        <v>2716</v>
      </c>
    </row>
    <row r="2060">
      <c r="B2060" s="6"/>
      <c r="D2060" s="6" t="s">
        <v>2717</v>
      </c>
    </row>
    <row r="2061">
      <c r="B2061" s="6"/>
      <c r="D2061" s="6" t="s">
        <v>2718</v>
      </c>
    </row>
    <row r="2062">
      <c r="B2062" s="6"/>
      <c r="D2062" s="6" t="s">
        <v>2719</v>
      </c>
    </row>
    <row r="2063">
      <c r="B2063" s="6"/>
      <c r="D2063" s="6" t="s">
        <v>2720</v>
      </c>
    </row>
    <row r="2064">
      <c r="B2064" s="6"/>
      <c r="D2064" s="6" t="s">
        <v>2721</v>
      </c>
    </row>
    <row r="2065">
      <c r="B2065" s="6"/>
      <c r="D2065" s="6" t="s">
        <v>2722</v>
      </c>
    </row>
    <row r="2066">
      <c r="B2066" s="6"/>
      <c r="D2066" s="6" t="s">
        <v>2723</v>
      </c>
    </row>
    <row r="2067">
      <c r="B2067" s="6"/>
      <c r="D2067" s="6" t="s">
        <v>2724</v>
      </c>
    </row>
    <row r="2068">
      <c r="B2068" s="6"/>
      <c r="D2068" s="6" t="s">
        <v>2725</v>
      </c>
    </row>
    <row r="2069">
      <c r="B2069" s="6"/>
      <c r="C2069" s="6" t="s">
        <v>1310</v>
      </c>
    </row>
    <row r="2070">
      <c r="B2070" s="6" t="s">
        <v>1310</v>
      </c>
    </row>
    <row r="2071">
      <c r="B2071" s="6"/>
    </row>
    <row r="2072">
      <c r="B2072" s="6" t="s">
        <v>1060</v>
      </c>
    </row>
    <row r="2073">
      <c r="B2073" s="6" t="s">
        <v>1062</v>
      </c>
    </row>
    <row r="2074">
      <c r="B2074" s="6"/>
    </row>
    <row r="2075">
      <c r="B2075" s="6" t="s">
        <v>1086</v>
      </c>
    </row>
    <row r="2076">
      <c r="B2076" s="6" t="s">
        <v>1114</v>
      </c>
    </row>
    <row r="2077">
      <c r="B2077" s="6" t="s">
        <v>2397</v>
      </c>
    </row>
    <row r="2078">
      <c r="B2078" s="6" t="s">
        <v>1101</v>
      </c>
    </row>
    <row r="2079">
      <c r="B2079" s="6" t="s">
        <v>1347</v>
      </c>
    </row>
    <row r="2080">
      <c r="B2080" s="6" t="s">
        <v>2248</v>
      </c>
    </row>
    <row r="2081">
      <c r="B2081" s="6" t="s">
        <v>1315</v>
      </c>
    </row>
    <row r="2082">
      <c r="B2082" s="6" t="s">
        <v>2248</v>
      </c>
    </row>
    <row r="2083">
      <c r="B2083" s="6" t="s">
        <v>1086</v>
      </c>
    </row>
    <row r="2084">
      <c r="B2084" s="6" t="s">
        <v>2249</v>
      </c>
    </row>
    <row r="2085">
      <c r="B2085" s="6" t="s">
        <v>2728</v>
      </c>
    </row>
    <row r="2086">
      <c r="B2086" s="6" t="s">
        <v>1118</v>
      </c>
    </row>
    <row r="2087">
      <c r="B2087" s="6" t="s">
        <v>1117</v>
      </c>
    </row>
    <row r="2088">
      <c r="B2088" s="6" t="s">
        <v>1086</v>
      </c>
    </row>
    <row r="2089">
      <c r="B2089" s="6" t="s">
        <v>1114</v>
      </c>
    </row>
    <row r="2090">
      <c r="B2090" s="6" t="s">
        <v>1100</v>
      </c>
    </row>
    <row r="2091">
      <c r="B2091" s="6" t="s">
        <v>1140</v>
      </c>
    </row>
    <row r="2092">
      <c r="B2092" s="6" t="s">
        <v>2729</v>
      </c>
    </row>
    <row r="2093">
      <c r="B2093" s="6" t="s">
        <v>1118</v>
      </c>
    </row>
    <row r="2094">
      <c r="B2094" s="6" t="s">
        <v>2730</v>
      </c>
    </row>
    <row r="2095">
      <c r="B2095" s="6" t="s">
        <v>2420</v>
      </c>
    </row>
    <row r="2096">
      <c r="B2096" s="6" t="s">
        <v>1329</v>
      </c>
    </row>
    <row r="2097">
      <c r="B2097" s="6" t="s">
        <v>1833</v>
      </c>
    </row>
    <row r="2098">
      <c r="B2098" s="6" t="s">
        <v>2731</v>
      </c>
    </row>
    <row r="2099">
      <c r="B2099" s="6" t="s">
        <v>2732</v>
      </c>
    </row>
    <row r="2100">
      <c r="B2100" s="6" t="s">
        <v>2420</v>
      </c>
    </row>
    <row r="2101">
      <c r="B2101" s="6" t="s">
        <v>1107</v>
      </c>
    </row>
    <row r="2102">
      <c r="B2102" s="6" t="s">
        <v>1104</v>
      </c>
    </row>
    <row r="2103">
      <c r="B2103" s="6" t="s">
        <v>1114</v>
      </c>
    </row>
    <row r="2104">
      <c r="B2104" s="6" t="s">
        <v>1083</v>
      </c>
    </row>
    <row r="2105">
      <c r="B2105" s="6" t="s">
        <v>1114</v>
      </c>
    </row>
    <row r="2106">
      <c r="B2106" s="6" t="s">
        <v>1086</v>
      </c>
    </row>
    <row r="2107">
      <c r="B2107" s="6" t="s">
        <v>1866</v>
      </c>
    </row>
    <row r="2108">
      <c r="B2108" s="6" t="s">
        <v>2729</v>
      </c>
    </row>
    <row r="2109">
      <c r="B2109" s="6" t="s">
        <v>1118</v>
      </c>
    </row>
    <row r="2110">
      <c r="B2110" s="6" t="s">
        <v>1118</v>
      </c>
    </row>
    <row r="2111">
      <c r="B2111" s="6" t="s">
        <v>1140</v>
      </c>
    </row>
    <row r="2112">
      <c r="B2112" s="6" t="s">
        <v>1140</v>
      </c>
    </row>
    <row r="2113">
      <c r="B2113" s="6" t="s">
        <v>1067</v>
      </c>
    </row>
    <row r="2114">
      <c r="B2114" s="6" t="s">
        <v>2733</v>
      </c>
    </row>
    <row r="2115">
      <c r="B2115" s="6" t="s">
        <v>1833</v>
      </c>
    </row>
    <row r="2116">
      <c r="B2116" s="6" t="s">
        <v>1070</v>
      </c>
    </row>
    <row r="2117">
      <c r="B2117" s="6" t="s">
        <v>1315</v>
      </c>
    </row>
    <row r="2118">
      <c r="B2118" s="6" t="s">
        <v>1347</v>
      </c>
    </row>
    <row r="2119">
      <c r="B2119" s="6" t="s">
        <v>1117</v>
      </c>
    </row>
    <row r="2120">
      <c r="B2120" s="6" t="s">
        <v>1070</v>
      </c>
    </row>
    <row r="2121">
      <c r="B2121" s="6" t="s">
        <v>2734</v>
      </c>
    </row>
    <row r="2122">
      <c r="B2122" s="6" t="s">
        <v>1117</v>
      </c>
    </row>
    <row r="2123">
      <c r="B2123" s="6" t="s">
        <v>1104</v>
      </c>
    </row>
    <row r="2124">
      <c r="B2124" s="6" t="s">
        <v>2735</v>
      </c>
    </row>
    <row r="2125">
      <c r="B2125" s="6" t="s">
        <v>2731</v>
      </c>
    </row>
    <row r="2126">
      <c r="B2126" s="6" t="s">
        <v>1866</v>
      </c>
    </row>
    <row r="2127">
      <c r="B2127" s="6" t="s">
        <v>1083</v>
      </c>
    </row>
    <row r="2128">
      <c r="B2128" s="6" t="s">
        <v>1093</v>
      </c>
    </row>
    <row r="2129">
      <c r="B2129" s="6" t="s">
        <v>1117</v>
      </c>
    </row>
    <row r="2130">
      <c r="B2130" s="6" t="s">
        <v>2735</v>
      </c>
    </row>
    <row r="2131">
      <c r="B2131" s="6" t="s">
        <v>1104</v>
      </c>
    </row>
    <row r="2132">
      <c r="B2132" s="6" t="s">
        <v>1083</v>
      </c>
    </row>
    <row r="2133">
      <c r="B2133" s="6" t="s">
        <v>2731</v>
      </c>
    </row>
    <row r="2134">
      <c r="B2134" s="6" t="s">
        <v>1849</v>
      </c>
    </row>
    <row r="2135">
      <c r="B2135" s="6" t="s">
        <v>1083</v>
      </c>
    </row>
    <row r="2136">
      <c r="B2136" s="6" t="s">
        <v>2736</v>
      </c>
    </row>
    <row r="2137">
      <c r="B2137" s="6" t="s">
        <v>1347</v>
      </c>
    </row>
    <row r="2138">
      <c r="B2138" s="6" t="s">
        <v>1083</v>
      </c>
    </row>
    <row r="2139">
      <c r="B2139" s="6" t="s">
        <v>2270</v>
      </c>
    </row>
    <row r="2140">
      <c r="B2140" s="6" t="s">
        <v>2258</v>
      </c>
    </row>
    <row r="2141">
      <c r="B2141" s="6" t="s">
        <v>1117</v>
      </c>
    </row>
    <row r="2142">
      <c r="B2142" s="6" t="s">
        <v>1117</v>
      </c>
    </row>
    <row r="2143">
      <c r="B2143" s="6" t="s">
        <v>1114</v>
      </c>
    </row>
    <row r="2144">
      <c r="B2144" s="6" t="s">
        <v>1842</v>
      </c>
    </row>
    <row r="2145">
      <c r="B2145" s="6" t="s">
        <v>1083</v>
      </c>
    </row>
    <row r="2146">
      <c r="B2146" s="6" t="s">
        <v>2738</v>
      </c>
    </row>
    <row r="2147">
      <c r="B2147" s="6" t="s">
        <v>2739</v>
      </c>
    </row>
    <row r="2148">
      <c r="B2148" s="6" t="s">
        <v>1086</v>
      </c>
    </row>
    <row r="2149">
      <c r="B2149" s="6" t="s">
        <v>1086</v>
      </c>
    </row>
    <row r="2150">
      <c r="B2150" s="6" t="s">
        <v>1086</v>
      </c>
      <c r="C2150" s="6"/>
    </row>
    <row r="2151">
      <c r="B2151" s="6" t="s">
        <v>1114</v>
      </c>
      <c r="C2151" s="6"/>
    </row>
    <row r="2152">
      <c r="B2152" s="6" t="s">
        <v>1086</v>
      </c>
      <c r="C2152" s="6"/>
    </row>
    <row r="2153">
      <c r="B2153" s="6" t="s">
        <v>1315</v>
      </c>
      <c r="C2153" s="6"/>
    </row>
    <row r="2154">
      <c r="B2154" s="6" t="s">
        <v>1093</v>
      </c>
      <c r="C2154" s="6"/>
    </row>
    <row r="2155">
      <c r="B2155" s="6" t="s">
        <v>2740</v>
      </c>
      <c r="C2155" s="6"/>
    </row>
    <row r="2156">
      <c r="B2156" s="6" t="s">
        <v>1083</v>
      </c>
      <c r="D2156" s="6"/>
    </row>
    <row r="2157">
      <c r="B2157" s="6" t="s">
        <v>1067</v>
      </c>
      <c r="D2157" s="6"/>
    </row>
    <row r="2158">
      <c r="B2158" s="6" t="s">
        <v>1117</v>
      </c>
      <c r="D2158" s="6"/>
    </row>
    <row r="2159">
      <c r="B2159" s="6" t="s">
        <v>1347</v>
      </c>
      <c r="D2159" s="6"/>
    </row>
    <row r="2160">
      <c r="B2160" s="6" t="s">
        <v>1083</v>
      </c>
      <c r="D2160" s="6"/>
    </row>
    <row r="2161">
      <c r="B2161" s="6" t="s">
        <v>1114</v>
      </c>
      <c r="D2161" s="6"/>
    </row>
    <row r="2162">
      <c r="B2162" s="6" t="s">
        <v>2270</v>
      </c>
      <c r="D2162" s="6"/>
    </row>
    <row r="2163">
      <c r="B2163" s="6" t="s">
        <v>2406</v>
      </c>
      <c r="D2163" s="6"/>
    </row>
    <row r="2164">
      <c r="B2164" s="6" t="s">
        <v>1329</v>
      </c>
      <c r="D2164" s="6"/>
    </row>
    <row r="2165">
      <c r="B2165" s="6" t="s">
        <v>2741</v>
      </c>
      <c r="D2165" s="6"/>
    </row>
    <row r="2166">
      <c r="B2166" s="6" t="s">
        <v>1329</v>
      </c>
      <c r="D2166" s="6"/>
    </row>
    <row r="2167">
      <c r="B2167" s="6" t="s">
        <v>1842</v>
      </c>
      <c r="D2167" s="6"/>
    </row>
    <row r="2168">
      <c r="B2168" s="6" t="s">
        <v>1093</v>
      </c>
      <c r="D2168" s="6"/>
    </row>
    <row r="2169">
      <c r="B2169" s="6" t="s">
        <v>2742</v>
      </c>
      <c r="D2169" s="6"/>
    </row>
    <row r="2170">
      <c r="B2170" s="6" t="s">
        <v>2420</v>
      </c>
      <c r="D2170" s="6"/>
    </row>
    <row r="2171">
      <c r="B2171" s="6" t="s">
        <v>1114</v>
      </c>
      <c r="D2171" s="6"/>
    </row>
    <row r="2172">
      <c r="B2172" s="6" t="s">
        <v>1118</v>
      </c>
      <c r="D2172" s="6"/>
    </row>
    <row r="2173">
      <c r="B2173" s="6" t="s">
        <v>2743</v>
      </c>
      <c r="D2173" s="6"/>
    </row>
    <row r="2174">
      <c r="B2174" s="6" t="s">
        <v>2416</v>
      </c>
      <c r="D2174" s="6"/>
    </row>
    <row r="2175">
      <c r="B2175" s="6" t="s">
        <v>48</v>
      </c>
      <c r="D2175" s="6"/>
    </row>
    <row r="2176">
      <c r="B2176" s="6" t="s">
        <v>2744</v>
      </c>
      <c r="D2176" s="6"/>
    </row>
    <row r="2177">
      <c r="B2177" s="6" t="s">
        <v>1058</v>
      </c>
      <c r="D2177" s="6"/>
    </row>
    <row r="2178">
      <c r="C2178" s="6" t="s">
        <v>2745</v>
      </c>
      <c r="D2178" s="6"/>
    </row>
    <row r="2179">
      <c r="C2179" s="6" t="s">
        <v>2746</v>
      </c>
      <c r="D2179" s="6"/>
    </row>
    <row r="2180">
      <c r="C2180" s="6" t="s">
        <v>2747</v>
      </c>
      <c r="D2180" s="6"/>
    </row>
    <row r="2181">
      <c r="C2181" s="6" t="s">
        <v>1710</v>
      </c>
      <c r="D2181" s="6"/>
    </row>
    <row r="2182">
      <c r="C2182" s="6" t="s">
        <v>1151</v>
      </c>
      <c r="D2182" s="6"/>
    </row>
    <row r="2183">
      <c r="C2183" s="6" t="s">
        <v>1058</v>
      </c>
      <c r="D2183" s="6"/>
    </row>
    <row r="2184">
      <c r="D2184" s="6" t="s">
        <v>2748</v>
      </c>
    </row>
    <row r="2185">
      <c r="D2185" s="6" t="s">
        <v>2749</v>
      </c>
    </row>
    <row r="2186">
      <c r="D2186" s="6" t="s">
        <v>2750</v>
      </c>
    </row>
    <row r="2187">
      <c r="D2187" s="6" t="s">
        <v>2751</v>
      </c>
    </row>
    <row r="2188">
      <c r="D2188" s="6" t="s">
        <v>2752</v>
      </c>
    </row>
    <row r="2189">
      <c r="D2189" s="6" t="s">
        <v>2753</v>
      </c>
    </row>
    <row r="2190">
      <c r="D2190" s="6" t="s">
        <v>2754</v>
      </c>
    </row>
    <row r="2191">
      <c r="D2191" s="6" t="s">
        <v>2755</v>
      </c>
    </row>
    <row r="2192">
      <c r="D2192" s="6" t="s">
        <v>2756</v>
      </c>
    </row>
    <row r="2193">
      <c r="D2193" s="6" t="s">
        <v>2757</v>
      </c>
    </row>
    <row r="2194">
      <c r="D2194" s="6" t="s">
        <v>2758</v>
      </c>
    </row>
    <row r="2195">
      <c r="D2195" s="6" t="s">
        <v>2759</v>
      </c>
    </row>
    <row r="2196">
      <c r="D2196" s="6" t="s">
        <v>2760</v>
      </c>
    </row>
    <row r="2197">
      <c r="D2197" s="6" t="s">
        <v>2761</v>
      </c>
    </row>
    <row r="2198">
      <c r="D2198" s="6" t="s">
        <v>2762</v>
      </c>
    </row>
    <row r="2199">
      <c r="D2199" s="6" t="s">
        <v>2763</v>
      </c>
    </row>
    <row r="2200">
      <c r="D2200" s="6" t="s">
        <v>2764</v>
      </c>
    </row>
    <row r="2201">
      <c r="D2201" s="6" t="s">
        <v>2765</v>
      </c>
    </row>
    <row r="2202">
      <c r="D2202" s="6" t="s">
        <v>2766</v>
      </c>
    </row>
    <row r="2203">
      <c r="D2203" s="6" t="s">
        <v>2767</v>
      </c>
    </row>
    <row r="2204">
      <c r="D2204" s="6" t="s">
        <v>2768</v>
      </c>
    </row>
    <row r="2205">
      <c r="D2205" s="6" t="s">
        <v>2769</v>
      </c>
    </row>
    <row r="2206">
      <c r="D2206" s="6" t="s">
        <v>2770</v>
      </c>
    </row>
    <row r="2207">
      <c r="D2207" s="6" t="s">
        <v>2771</v>
      </c>
    </row>
    <row r="2208">
      <c r="D2208" s="6" t="s">
        <v>2772</v>
      </c>
    </row>
    <row r="2209">
      <c r="D2209" s="6" t="s">
        <v>2773</v>
      </c>
    </row>
    <row r="2210">
      <c r="D2210" s="6" t="s">
        <v>2774</v>
      </c>
    </row>
    <row r="2211">
      <c r="D2211" s="6" t="s">
        <v>2775</v>
      </c>
    </row>
    <row r="2212">
      <c r="D2212" s="6" t="s">
        <v>2776</v>
      </c>
    </row>
    <row r="2213">
      <c r="D2213" s="6" t="s">
        <v>2777</v>
      </c>
    </row>
    <row r="2214">
      <c r="D2214" s="6" t="s">
        <v>2778</v>
      </c>
    </row>
    <row r="2215">
      <c r="D2215" s="6" t="s">
        <v>2779</v>
      </c>
    </row>
    <row r="2216">
      <c r="D2216" s="6" t="s">
        <v>2780</v>
      </c>
    </row>
    <row r="2217">
      <c r="D2217" s="6" t="s">
        <v>2781</v>
      </c>
    </row>
    <row r="2218">
      <c r="D2218" s="6" t="s">
        <v>2782</v>
      </c>
    </row>
    <row r="2219">
      <c r="D2219" s="6" t="s">
        <v>2783</v>
      </c>
    </row>
    <row r="2220">
      <c r="D2220" s="6" t="s">
        <v>2784</v>
      </c>
    </row>
    <row r="2221">
      <c r="D2221" s="6" t="s">
        <v>2785</v>
      </c>
    </row>
    <row r="2222">
      <c r="D2222" s="6" t="s">
        <v>2786</v>
      </c>
    </row>
    <row r="2223">
      <c r="D2223" s="6" t="s">
        <v>2787</v>
      </c>
    </row>
    <row r="2224">
      <c r="D2224" s="6" t="s">
        <v>2788</v>
      </c>
    </row>
    <row r="2225">
      <c r="D2225" s="6" t="s">
        <v>2789</v>
      </c>
    </row>
    <row r="2226">
      <c r="D2226" s="6" t="s">
        <v>2790</v>
      </c>
    </row>
    <row r="2227">
      <c r="D2227" s="6" t="s">
        <v>2791</v>
      </c>
    </row>
    <row r="2228">
      <c r="D2228" s="6" t="s">
        <v>2792</v>
      </c>
    </row>
    <row r="2229">
      <c r="D2229" s="6" t="s">
        <v>2793</v>
      </c>
    </row>
    <row r="2230">
      <c r="D2230" s="6" t="s">
        <v>2794</v>
      </c>
    </row>
    <row r="2231">
      <c r="D2231" s="6" t="s">
        <v>2795</v>
      </c>
    </row>
    <row r="2232">
      <c r="D2232" s="6" t="s">
        <v>2796</v>
      </c>
    </row>
    <row r="2233">
      <c r="D2233" s="6" t="s">
        <v>2797</v>
      </c>
    </row>
    <row r="2234">
      <c r="D2234" s="6" t="s">
        <v>2798</v>
      </c>
    </row>
    <row r="2235">
      <c r="D2235" s="6" t="s">
        <v>2799</v>
      </c>
    </row>
    <row r="2236">
      <c r="D2236" s="6" t="s">
        <v>2800</v>
      </c>
    </row>
    <row r="2237">
      <c r="D2237" s="6" t="s">
        <v>2801</v>
      </c>
    </row>
    <row r="2238">
      <c r="D2238" s="6" t="s">
        <v>2802</v>
      </c>
    </row>
    <row r="2239">
      <c r="D2239" s="6" t="s">
        <v>2803</v>
      </c>
    </row>
    <row r="2240">
      <c r="D2240" s="6" t="s">
        <v>2804</v>
      </c>
    </row>
    <row r="2241">
      <c r="D2241" s="6" t="s">
        <v>2805</v>
      </c>
    </row>
    <row r="2242">
      <c r="D2242" s="6" t="s">
        <v>2806</v>
      </c>
    </row>
    <row r="2243">
      <c r="D2243" s="6" t="s">
        <v>2807</v>
      </c>
    </row>
    <row r="2244">
      <c r="D2244" s="6" t="s">
        <v>2808</v>
      </c>
    </row>
    <row r="2245">
      <c r="D2245" s="6" t="s">
        <v>2809</v>
      </c>
    </row>
    <row r="2246">
      <c r="D2246" s="6" t="s">
        <v>2811</v>
      </c>
    </row>
    <row r="2247">
      <c r="D2247" s="6" t="s">
        <v>2812</v>
      </c>
    </row>
    <row r="2248">
      <c r="D2248" s="6" t="s">
        <v>2813</v>
      </c>
    </row>
    <row r="2249">
      <c r="D2249" s="6" t="s">
        <v>2814</v>
      </c>
    </row>
    <row r="2250">
      <c r="D2250" s="6" t="s">
        <v>2815</v>
      </c>
    </row>
    <row r="2251">
      <c r="D2251" s="6" t="s">
        <v>2816</v>
      </c>
    </row>
    <row r="2252">
      <c r="D2252" s="6" t="s">
        <v>2817</v>
      </c>
    </row>
    <row r="2253">
      <c r="D2253" s="6" t="s">
        <v>2818</v>
      </c>
    </row>
    <row r="2254">
      <c r="D2254" s="6" t="s">
        <v>2819</v>
      </c>
    </row>
    <row r="2255">
      <c r="D2255" s="6" t="s">
        <v>2820</v>
      </c>
    </row>
    <row r="2256">
      <c r="D2256" s="6" t="s">
        <v>2821</v>
      </c>
    </row>
    <row r="2257">
      <c r="D2257" s="6" t="s">
        <v>2822</v>
      </c>
    </row>
    <row r="2258">
      <c r="C2258" s="6"/>
      <c r="D2258" s="6" t="s">
        <v>2823</v>
      </c>
    </row>
    <row r="2259">
      <c r="B2259" s="6"/>
      <c r="D2259" s="6" t="s">
        <v>2824</v>
      </c>
    </row>
    <row r="2260">
      <c r="D2260" s="6" t="s">
        <v>2825</v>
      </c>
    </row>
    <row r="2261">
      <c r="B2261" s="6"/>
      <c r="D2261" s="6" t="s">
        <v>2826</v>
      </c>
    </row>
    <row r="2262">
      <c r="B2262" s="6"/>
      <c r="D2262" s="6" t="s">
        <v>2828</v>
      </c>
    </row>
    <row r="2263">
      <c r="D2263" s="6" t="s">
        <v>2829</v>
      </c>
    </row>
    <row r="2264">
      <c r="B2264" s="6"/>
      <c r="D2264" s="6" t="s">
        <v>2830</v>
      </c>
    </row>
    <row r="2265">
      <c r="B2265" s="6"/>
      <c r="D2265" s="6" t="s">
        <v>2831</v>
      </c>
    </row>
    <row r="2266">
      <c r="B2266" s="6"/>
      <c r="D2266" s="6" t="s">
        <v>2832</v>
      </c>
    </row>
    <row r="2267">
      <c r="B2267" s="6"/>
      <c r="D2267" s="6" t="s">
        <v>2833</v>
      </c>
    </row>
    <row r="2268">
      <c r="B2268" s="6"/>
      <c r="D2268" s="6" t="s">
        <v>2835</v>
      </c>
    </row>
    <row r="2269">
      <c r="B2269" s="6"/>
      <c r="D2269" s="6" t="s">
        <v>2836</v>
      </c>
    </row>
    <row r="2270">
      <c r="B2270" s="6"/>
      <c r="D2270" s="6" t="s">
        <v>2837</v>
      </c>
    </row>
    <row r="2271">
      <c r="B2271" s="6"/>
      <c r="D2271" s="6" t="s">
        <v>2838</v>
      </c>
    </row>
    <row r="2272">
      <c r="B2272" s="6"/>
      <c r="D2272" s="6" t="s">
        <v>2839</v>
      </c>
    </row>
    <row r="2273">
      <c r="B2273" s="6"/>
      <c r="D2273" s="6" t="s">
        <v>2840</v>
      </c>
    </row>
    <row r="2274">
      <c r="B2274" s="6"/>
      <c r="D2274" s="6" t="s">
        <v>2841</v>
      </c>
    </row>
    <row r="2275">
      <c r="B2275" s="6"/>
      <c r="D2275" s="6" t="s">
        <v>2842</v>
      </c>
    </row>
    <row r="2276">
      <c r="B2276" s="6"/>
      <c r="D2276" s="6" t="s">
        <v>2843</v>
      </c>
    </row>
    <row r="2277">
      <c r="B2277" s="6"/>
      <c r="D2277" s="6" t="s">
        <v>2844</v>
      </c>
    </row>
    <row r="2278">
      <c r="B2278" s="6"/>
      <c r="D2278" s="6" t="s">
        <v>2845</v>
      </c>
    </row>
    <row r="2279">
      <c r="B2279" s="6"/>
      <c r="D2279" s="6" t="s">
        <v>2846</v>
      </c>
    </row>
    <row r="2280">
      <c r="B2280" s="6"/>
      <c r="D2280" s="6" t="s">
        <v>2847</v>
      </c>
    </row>
    <row r="2281">
      <c r="B2281" s="6"/>
      <c r="D2281" s="6" t="s">
        <v>2848</v>
      </c>
    </row>
    <row r="2282">
      <c r="B2282" s="6"/>
      <c r="D2282" s="6" t="s">
        <v>2849</v>
      </c>
    </row>
    <row r="2283">
      <c r="B2283" s="6"/>
      <c r="D2283" s="6" t="s">
        <v>2850</v>
      </c>
    </row>
    <row r="2284">
      <c r="B2284" s="6"/>
      <c r="D2284" s="6" t="s">
        <v>2851</v>
      </c>
    </row>
    <row r="2285">
      <c r="B2285" s="6"/>
      <c r="D2285" s="6" t="s">
        <v>2852</v>
      </c>
    </row>
    <row r="2286">
      <c r="B2286" s="6"/>
      <c r="C2286" s="6" t="s">
        <v>1310</v>
      </c>
    </row>
    <row r="2287">
      <c r="B2287" s="6" t="s">
        <v>1310</v>
      </c>
    </row>
    <row r="2288">
      <c r="B2288" s="6"/>
    </row>
    <row r="2289">
      <c r="B2289" s="6" t="s">
        <v>1060</v>
      </c>
    </row>
    <row r="2290">
      <c r="B2290" s="6" t="s">
        <v>1062</v>
      </c>
    </row>
    <row r="2291">
      <c r="B2291" s="6"/>
    </row>
    <row r="2292">
      <c r="B2292" s="6" t="s">
        <v>1816</v>
      </c>
    </row>
    <row r="2293">
      <c r="B2293" s="6" t="s">
        <v>1817</v>
      </c>
    </row>
    <row r="2294">
      <c r="B2294" s="6" t="s">
        <v>1818</v>
      </c>
    </row>
    <row r="2295">
      <c r="B2295" s="6" t="s">
        <v>1819</v>
      </c>
    </row>
    <row r="2296">
      <c r="B2296" s="6" t="s">
        <v>1820</v>
      </c>
    </row>
    <row r="2297">
      <c r="B2297" s="6" t="s">
        <v>1821</v>
      </c>
    </row>
    <row r="2298">
      <c r="B2298" s="6" t="s">
        <v>1822</v>
      </c>
    </row>
    <row r="2299">
      <c r="B2299" s="6" t="s">
        <v>1825</v>
      </c>
    </row>
    <row r="2300">
      <c r="B2300" s="6" t="s">
        <v>1816</v>
      </c>
    </row>
    <row r="2301">
      <c r="B2301" s="6" t="s">
        <v>1826</v>
      </c>
    </row>
    <row r="2302">
      <c r="B2302" s="6" t="s">
        <v>1827</v>
      </c>
    </row>
    <row r="2303">
      <c r="B2303" s="6" t="s">
        <v>1828</v>
      </c>
    </row>
    <row r="2304">
      <c r="B2304" s="6" t="s">
        <v>1829</v>
      </c>
    </row>
    <row r="2305">
      <c r="B2305" s="6" t="s">
        <v>1832</v>
      </c>
    </row>
    <row r="2306">
      <c r="B2306" s="6" t="s">
        <v>1833</v>
      </c>
    </row>
    <row r="2307">
      <c r="B2307" s="6" t="s">
        <v>1834</v>
      </c>
    </row>
    <row r="2308">
      <c r="B2308" s="6" t="s">
        <v>1835</v>
      </c>
    </row>
    <row r="2309">
      <c r="B2309" s="6" t="s">
        <v>1836</v>
      </c>
    </row>
    <row r="2310">
      <c r="B2310" s="6" t="s">
        <v>1839</v>
      </c>
    </row>
    <row r="2311">
      <c r="B2311" s="6" t="s">
        <v>1840</v>
      </c>
    </row>
    <row r="2312">
      <c r="B2312" s="6" t="s">
        <v>1841</v>
      </c>
    </row>
    <row r="2313">
      <c r="B2313" s="6" t="s">
        <v>1842</v>
      </c>
    </row>
    <row r="2314">
      <c r="B2314" s="6" t="s">
        <v>1843</v>
      </c>
    </row>
    <row r="2315">
      <c r="B2315" s="6" t="s">
        <v>1844</v>
      </c>
    </row>
    <row r="2316">
      <c r="B2316" s="6" t="s">
        <v>1845</v>
      </c>
    </row>
    <row r="2317">
      <c r="B2317" s="6" t="s">
        <v>1841</v>
      </c>
    </row>
    <row r="2318">
      <c r="B2318" s="6" t="s">
        <v>1847</v>
      </c>
    </row>
    <row r="2319">
      <c r="B2319" s="6" t="s">
        <v>1848</v>
      </c>
    </row>
    <row r="2320">
      <c r="B2320" s="6" t="s">
        <v>1817</v>
      </c>
    </row>
    <row r="2321">
      <c r="B2321" s="6" t="s">
        <v>1833</v>
      </c>
    </row>
    <row r="2322">
      <c r="B2322" s="6" t="s">
        <v>1849</v>
      </c>
    </row>
    <row r="2323">
      <c r="B2323" s="6" t="s">
        <v>1850</v>
      </c>
    </row>
    <row r="2324">
      <c r="B2324" s="6" t="s">
        <v>1852</v>
      </c>
    </row>
    <row r="2325">
      <c r="B2325" s="6" t="s">
        <v>1836</v>
      </c>
    </row>
    <row r="2326">
      <c r="B2326" s="6" t="s">
        <v>1853</v>
      </c>
    </row>
    <row r="2327">
      <c r="B2327" s="6" t="s">
        <v>1828</v>
      </c>
    </row>
    <row r="2328">
      <c r="B2328" s="6" t="s">
        <v>1854</v>
      </c>
    </row>
    <row r="2329">
      <c r="B2329" s="6" t="s">
        <v>1835</v>
      </c>
    </row>
    <row r="2330">
      <c r="B2330" s="6" t="s">
        <v>1855</v>
      </c>
    </row>
    <row r="2331">
      <c r="B2331" s="6" t="s">
        <v>1856</v>
      </c>
    </row>
    <row r="2332">
      <c r="B2332" s="6" t="s">
        <v>1857</v>
      </c>
    </row>
    <row r="2333">
      <c r="B2333" s="6" t="s">
        <v>1859</v>
      </c>
    </row>
    <row r="2334">
      <c r="B2334" s="6" t="s">
        <v>1861</v>
      </c>
    </row>
    <row r="2335">
      <c r="B2335" s="6" t="s">
        <v>1862</v>
      </c>
    </row>
    <row r="2336">
      <c r="B2336" s="6" t="s">
        <v>1863</v>
      </c>
    </row>
    <row r="2337">
      <c r="B2337" s="6" t="s">
        <v>1864</v>
      </c>
    </row>
    <row r="2338">
      <c r="B2338" s="6" t="s">
        <v>1865</v>
      </c>
    </row>
    <row r="2339">
      <c r="B2339" s="6" t="s">
        <v>1863</v>
      </c>
    </row>
    <row r="2340">
      <c r="B2340" s="6" t="s">
        <v>1866</v>
      </c>
    </row>
    <row r="2341">
      <c r="B2341" s="6" t="s">
        <v>1867</v>
      </c>
    </row>
    <row r="2342">
      <c r="B2342" s="6" t="s">
        <v>1844</v>
      </c>
    </row>
    <row r="2343">
      <c r="B2343" s="6" t="s">
        <v>1868</v>
      </c>
    </row>
    <row r="2344">
      <c r="B2344" s="6" t="s">
        <v>1833</v>
      </c>
    </row>
    <row r="2345">
      <c r="B2345" s="6" t="s">
        <v>1871</v>
      </c>
    </row>
    <row r="2346">
      <c r="B2346" s="6" t="s">
        <v>1863</v>
      </c>
    </row>
    <row r="2347">
      <c r="B2347" s="6" t="s">
        <v>1872</v>
      </c>
    </row>
    <row r="2348">
      <c r="B2348" s="6" t="s">
        <v>1848</v>
      </c>
    </row>
    <row r="2349">
      <c r="B2349" s="6" t="s">
        <v>1875</v>
      </c>
    </row>
    <row r="2350">
      <c r="B2350" s="6" t="s">
        <v>1876</v>
      </c>
    </row>
    <row r="2351">
      <c r="B2351" s="6" t="s">
        <v>1877</v>
      </c>
    </row>
    <row r="2352">
      <c r="B2352" s="6" t="s">
        <v>1833</v>
      </c>
    </row>
    <row r="2353">
      <c r="B2353" s="6" t="s">
        <v>1878</v>
      </c>
    </row>
    <row r="2354">
      <c r="B2354" s="6" t="s">
        <v>1862</v>
      </c>
    </row>
    <row r="2355">
      <c r="B2355" s="6" t="s">
        <v>1833</v>
      </c>
    </row>
    <row r="2356">
      <c r="B2356" s="6" t="s">
        <v>1881</v>
      </c>
    </row>
    <row r="2357">
      <c r="B2357" s="6" t="s">
        <v>1882</v>
      </c>
    </row>
    <row r="2358">
      <c r="B2358" s="6" t="s">
        <v>1829</v>
      </c>
    </row>
    <row r="2359">
      <c r="B2359" s="6" t="s">
        <v>1863</v>
      </c>
    </row>
    <row r="2360">
      <c r="B2360" s="6" t="s">
        <v>1883</v>
      </c>
    </row>
    <row r="2361">
      <c r="B2361" s="6" t="s">
        <v>1884</v>
      </c>
    </row>
    <row r="2362">
      <c r="B2362" s="6" t="s">
        <v>1875</v>
      </c>
    </row>
    <row r="2363">
      <c r="B2363" s="6" t="s">
        <v>1887</v>
      </c>
    </row>
    <row r="2364">
      <c r="B2364" s="6" t="s">
        <v>1888</v>
      </c>
    </row>
    <row r="2365">
      <c r="B2365" s="6" t="s">
        <v>1850</v>
      </c>
    </row>
    <row r="2366">
      <c r="B2366" s="6" t="s">
        <v>1832</v>
      </c>
    </row>
    <row r="2367">
      <c r="B2367" s="6" t="s">
        <v>1853</v>
      </c>
      <c r="C2367" s="6"/>
    </row>
    <row r="2368">
      <c r="B2368" s="6" t="s">
        <v>1849</v>
      </c>
      <c r="C2368" s="6"/>
    </row>
    <row r="2369">
      <c r="B2369" s="6" t="s">
        <v>1832</v>
      </c>
      <c r="C2369" s="6"/>
    </row>
    <row r="2370">
      <c r="B2370" s="6" t="s">
        <v>1822</v>
      </c>
      <c r="C2370" s="6"/>
    </row>
    <row r="2371">
      <c r="B2371" s="6" t="s">
        <v>1891</v>
      </c>
      <c r="C2371" s="6"/>
    </row>
    <row r="2372">
      <c r="B2372" s="6" t="s">
        <v>1892</v>
      </c>
      <c r="C2372" s="6"/>
    </row>
    <row r="2373">
      <c r="B2373" s="6" t="s">
        <v>1893</v>
      </c>
      <c r="D2373" s="6"/>
    </row>
    <row r="2374">
      <c r="B2374" s="6" t="s">
        <v>1896</v>
      </c>
      <c r="D2374" s="6"/>
    </row>
    <row r="2375">
      <c r="B2375" s="6" t="s">
        <v>1829</v>
      </c>
      <c r="D2375" s="6"/>
    </row>
    <row r="2376">
      <c r="B2376" s="6" t="s">
        <v>1820</v>
      </c>
      <c r="D2376" s="6"/>
    </row>
    <row r="2377">
      <c r="B2377" s="6" t="s">
        <v>1875</v>
      </c>
      <c r="D2377" s="6"/>
    </row>
    <row r="2378">
      <c r="B2378" s="6" t="s">
        <v>1833</v>
      </c>
      <c r="D2378" s="6"/>
    </row>
    <row r="2379">
      <c r="B2379" s="6" t="s">
        <v>1897</v>
      </c>
      <c r="D2379" s="6"/>
    </row>
    <row r="2380">
      <c r="B2380" s="6" t="s">
        <v>1898</v>
      </c>
      <c r="D2380" s="6"/>
    </row>
    <row r="2381">
      <c r="B2381" s="6" t="s">
        <v>1848</v>
      </c>
      <c r="D2381" s="6"/>
    </row>
    <row r="2382">
      <c r="B2382" s="6" t="s">
        <v>1901</v>
      </c>
      <c r="D2382" s="6"/>
    </row>
    <row r="2383">
      <c r="B2383" s="6" t="s">
        <v>1848</v>
      </c>
      <c r="D2383" s="6"/>
    </row>
    <row r="2384">
      <c r="B2384" s="6" t="s">
        <v>1902</v>
      </c>
      <c r="D2384" s="6"/>
    </row>
    <row r="2385">
      <c r="B2385" s="6" t="s">
        <v>1891</v>
      </c>
      <c r="D2385" s="6"/>
    </row>
    <row r="2386">
      <c r="B2386" s="6" t="s">
        <v>1903</v>
      </c>
      <c r="D2386" s="6"/>
    </row>
    <row r="2387">
      <c r="B2387" s="6" t="s">
        <v>1904</v>
      </c>
      <c r="D2387" s="6"/>
    </row>
    <row r="2388">
      <c r="B2388" s="6" t="s">
        <v>1849</v>
      </c>
      <c r="D2388" s="6"/>
    </row>
    <row r="2389">
      <c r="B2389" s="6" t="s">
        <v>1853</v>
      </c>
      <c r="D2389" s="6"/>
    </row>
    <row r="2390">
      <c r="B2390" s="6" t="s">
        <v>1905</v>
      </c>
      <c r="D2390" s="6"/>
    </row>
    <row r="2391">
      <c r="B2391" s="6" t="s">
        <v>1906</v>
      </c>
      <c r="D2391" s="6"/>
    </row>
    <row r="2392">
      <c r="B2392" s="6" t="s">
        <v>48</v>
      </c>
      <c r="D2392" s="6"/>
    </row>
    <row r="2393">
      <c r="B2393" s="6" t="s">
        <v>2861</v>
      </c>
      <c r="D2393" s="6"/>
    </row>
    <row r="2394">
      <c r="B2394" s="6" t="s">
        <v>1058</v>
      </c>
      <c r="D2394" s="6"/>
    </row>
    <row r="2395">
      <c r="C2395" s="6" t="s">
        <v>1908</v>
      </c>
      <c r="D2395" s="6"/>
    </row>
    <row r="2396">
      <c r="C2396" s="6" t="s">
        <v>1910</v>
      </c>
      <c r="D2396" s="6"/>
    </row>
    <row r="2397">
      <c r="C2397" s="6" t="s">
        <v>1912</v>
      </c>
      <c r="D2397" s="6"/>
    </row>
    <row r="2398">
      <c r="C2398" s="6" t="s">
        <v>1710</v>
      </c>
      <c r="D2398" s="6"/>
    </row>
    <row r="2399">
      <c r="C2399" s="6" t="s">
        <v>1151</v>
      </c>
      <c r="D2399" s="6"/>
    </row>
    <row r="2400">
      <c r="C2400" s="6" t="s">
        <v>1058</v>
      </c>
      <c r="D2400" s="6"/>
    </row>
    <row r="2401">
      <c r="D2401" s="6" t="s">
        <v>1913</v>
      </c>
    </row>
    <row r="2402">
      <c r="D2402" s="6" t="s">
        <v>1916</v>
      </c>
    </row>
    <row r="2403">
      <c r="D2403" s="6" t="s">
        <v>1917</v>
      </c>
    </row>
    <row r="2404">
      <c r="D2404" s="6" t="s">
        <v>1918</v>
      </c>
    </row>
    <row r="2405">
      <c r="D2405" s="6" t="s">
        <v>1919</v>
      </c>
    </row>
    <row r="2406">
      <c r="D2406" s="6" t="s">
        <v>1921</v>
      </c>
    </row>
    <row r="2407">
      <c r="D2407" s="6" t="s">
        <v>1923</v>
      </c>
    </row>
    <row r="2408">
      <c r="D2408" s="6" t="s">
        <v>1924</v>
      </c>
    </row>
    <row r="2409">
      <c r="D2409" s="6" t="s">
        <v>1925</v>
      </c>
    </row>
    <row r="2410">
      <c r="D2410" s="6" t="s">
        <v>1926</v>
      </c>
    </row>
    <row r="2411">
      <c r="D2411" s="6" t="s">
        <v>1927</v>
      </c>
    </row>
    <row r="2412">
      <c r="D2412" s="6" t="s">
        <v>1928</v>
      </c>
    </row>
    <row r="2413">
      <c r="D2413" s="6" t="s">
        <v>1931</v>
      </c>
    </row>
    <row r="2414">
      <c r="D2414" s="6" t="s">
        <v>1932</v>
      </c>
    </row>
    <row r="2415">
      <c r="D2415" s="6" t="s">
        <v>1933</v>
      </c>
    </row>
    <row r="2416">
      <c r="D2416" s="6" t="s">
        <v>1934</v>
      </c>
    </row>
    <row r="2417">
      <c r="D2417" s="6" t="s">
        <v>1936</v>
      </c>
    </row>
    <row r="2418">
      <c r="D2418" s="6" t="s">
        <v>1938</v>
      </c>
    </row>
    <row r="2419">
      <c r="D2419" s="6" t="s">
        <v>1939</v>
      </c>
    </row>
    <row r="2420">
      <c r="D2420" s="6" t="s">
        <v>1940</v>
      </c>
    </row>
    <row r="2421">
      <c r="D2421" s="6" t="s">
        <v>1941</v>
      </c>
    </row>
    <row r="2422">
      <c r="D2422" s="6" t="s">
        <v>1942</v>
      </c>
    </row>
    <row r="2423">
      <c r="D2423" s="6" t="s">
        <v>1943</v>
      </c>
    </row>
    <row r="2424">
      <c r="D2424" s="6" t="s">
        <v>1945</v>
      </c>
    </row>
    <row r="2425">
      <c r="D2425" s="6" t="s">
        <v>1947</v>
      </c>
    </row>
    <row r="2426">
      <c r="D2426" s="6" t="s">
        <v>1948</v>
      </c>
    </row>
    <row r="2427">
      <c r="D2427" s="6" t="s">
        <v>1949</v>
      </c>
    </row>
    <row r="2428">
      <c r="D2428" s="6" t="s">
        <v>1950</v>
      </c>
    </row>
    <row r="2429">
      <c r="D2429" s="6" t="s">
        <v>1953</v>
      </c>
    </row>
    <row r="2430">
      <c r="D2430" s="6" t="s">
        <v>1954</v>
      </c>
    </row>
    <row r="2431">
      <c r="D2431" s="6" t="s">
        <v>1955</v>
      </c>
    </row>
    <row r="2432">
      <c r="D2432" s="6" t="s">
        <v>1956</v>
      </c>
    </row>
    <row r="2433">
      <c r="D2433" s="6" t="s">
        <v>1958</v>
      </c>
    </row>
    <row r="2434">
      <c r="D2434" s="6" t="s">
        <v>1960</v>
      </c>
    </row>
    <row r="2435">
      <c r="D2435" s="6" t="s">
        <v>1961</v>
      </c>
    </row>
    <row r="2436">
      <c r="D2436" s="6" t="s">
        <v>1962</v>
      </c>
    </row>
    <row r="2437">
      <c r="D2437" s="6" t="s">
        <v>1963</v>
      </c>
    </row>
    <row r="2438">
      <c r="D2438" s="6" t="s">
        <v>1964</v>
      </c>
    </row>
    <row r="2439">
      <c r="D2439" s="6" t="s">
        <v>1967</v>
      </c>
    </row>
    <row r="2440">
      <c r="D2440" s="6" t="s">
        <v>1968</v>
      </c>
    </row>
    <row r="2441">
      <c r="D2441" s="6" t="s">
        <v>1969</v>
      </c>
    </row>
    <row r="2442">
      <c r="D2442" s="6" t="s">
        <v>1970</v>
      </c>
    </row>
    <row r="2443">
      <c r="D2443" s="6" t="s">
        <v>1972</v>
      </c>
    </row>
    <row r="2444">
      <c r="D2444" s="6" t="s">
        <v>1974</v>
      </c>
    </row>
    <row r="2445">
      <c r="D2445" s="6" t="s">
        <v>1975</v>
      </c>
    </row>
    <row r="2446">
      <c r="D2446" s="6" t="s">
        <v>1976</v>
      </c>
    </row>
    <row r="2447">
      <c r="D2447" s="6" t="s">
        <v>1977</v>
      </c>
    </row>
    <row r="2448">
      <c r="D2448" s="6" t="s">
        <v>1978</v>
      </c>
    </row>
    <row r="2449">
      <c r="D2449" s="6" t="s">
        <v>1979</v>
      </c>
    </row>
    <row r="2450">
      <c r="D2450" s="6" t="s">
        <v>1980</v>
      </c>
    </row>
    <row r="2451">
      <c r="D2451" s="6" t="s">
        <v>1982</v>
      </c>
    </row>
    <row r="2452">
      <c r="D2452" s="6" t="s">
        <v>1984</v>
      </c>
    </row>
    <row r="2453">
      <c r="D2453" s="6" t="s">
        <v>1985</v>
      </c>
    </row>
    <row r="2454">
      <c r="D2454" s="6" t="s">
        <v>1986</v>
      </c>
    </row>
    <row r="2455">
      <c r="D2455" s="6" t="s">
        <v>1987</v>
      </c>
    </row>
    <row r="2456">
      <c r="D2456" s="6" t="s">
        <v>1988</v>
      </c>
    </row>
    <row r="2457">
      <c r="D2457" s="6" t="s">
        <v>1989</v>
      </c>
    </row>
    <row r="2458">
      <c r="D2458" s="6" t="s">
        <v>1990</v>
      </c>
    </row>
    <row r="2459">
      <c r="D2459" s="6" t="s">
        <v>1991</v>
      </c>
    </row>
    <row r="2460">
      <c r="D2460" s="6" t="s">
        <v>1992</v>
      </c>
    </row>
    <row r="2461">
      <c r="D2461" s="6" t="s">
        <v>1994</v>
      </c>
    </row>
    <row r="2462">
      <c r="D2462" s="6" t="s">
        <v>1996</v>
      </c>
    </row>
    <row r="2463">
      <c r="D2463" s="6" t="s">
        <v>1997</v>
      </c>
    </row>
    <row r="2464">
      <c r="D2464" s="6" t="s">
        <v>1998</v>
      </c>
    </row>
    <row r="2465">
      <c r="D2465" s="6" t="s">
        <v>1999</v>
      </c>
    </row>
    <row r="2466">
      <c r="D2466" s="6" t="s">
        <v>2000</v>
      </c>
    </row>
    <row r="2467">
      <c r="D2467" s="6" t="s">
        <v>2001</v>
      </c>
    </row>
    <row r="2468">
      <c r="D2468" s="6" t="s">
        <v>2003</v>
      </c>
    </row>
    <row r="2469">
      <c r="D2469" s="6" t="s">
        <v>2005</v>
      </c>
    </row>
    <row r="2470">
      <c r="D2470" s="6" t="s">
        <v>2006</v>
      </c>
    </row>
    <row r="2471">
      <c r="D2471" s="6" t="s">
        <v>2007</v>
      </c>
    </row>
    <row r="2472">
      <c r="D2472" s="6" t="s">
        <v>2008</v>
      </c>
    </row>
    <row r="2473">
      <c r="D2473" s="6" t="s">
        <v>2009</v>
      </c>
    </row>
    <row r="2474">
      <c r="D2474" s="6" t="s">
        <v>2010</v>
      </c>
    </row>
    <row r="2475">
      <c r="D2475" s="6" t="s">
        <v>2011</v>
      </c>
    </row>
    <row r="2476">
      <c r="D2476" s="6" t="s">
        <v>2012</v>
      </c>
    </row>
    <row r="2477">
      <c r="D2477" s="6" t="s">
        <v>2013</v>
      </c>
    </row>
    <row r="2478">
      <c r="D2478" s="6" t="s">
        <v>2015</v>
      </c>
    </row>
    <row r="2479">
      <c r="D2479" s="6" t="s">
        <v>2016</v>
      </c>
    </row>
    <row r="2480">
      <c r="D2480" s="6" t="s">
        <v>2017</v>
      </c>
    </row>
    <row r="2481">
      <c r="D2481" s="6" t="s">
        <v>2018</v>
      </c>
    </row>
    <row r="2482">
      <c r="D2482" s="6" t="s">
        <v>2019</v>
      </c>
    </row>
    <row r="2483">
      <c r="D2483" s="6" t="s">
        <v>2020</v>
      </c>
    </row>
    <row r="2484">
      <c r="D2484" s="6" t="s">
        <v>2021</v>
      </c>
    </row>
    <row r="2485">
      <c r="D2485" s="6" t="s">
        <v>2022</v>
      </c>
    </row>
    <row r="2486">
      <c r="D2486" s="6" t="s">
        <v>2023</v>
      </c>
    </row>
    <row r="2487">
      <c r="D2487" s="6" t="s">
        <v>2024</v>
      </c>
    </row>
    <row r="2488">
      <c r="D2488" s="6" t="s">
        <v>2026</v>
      </c>
    </row>
    <row r="2489">
      <c r="D2489" s="6" t="s">
        <v>2027</v>
      </c>
    </row>
    <row r="2490">
      <c r="D2490" s="6" t="s">
        <v>2028</v>
      </c>
    </row>
    <row r="2491">
      <c r="D2491" s="6" t="s">
        <v>2029</v>
      </c>
    </row>
    <row r="2492">
      <c r="D2492" s="6" t="s">
        <v>2030</v>
      </c>
    </row>
    <row r="2493">
      <c r="D2493" s="6" t="s">
        <v>2031</v>
      </c>
    </row>
    <row r="2494">
      <c r="D2494" s="6" t="s">
        <v>2032</v>
      </c>
    </row>
    <row r="2495">
      <c r="D2495" s="6" t="s">
        <v>2033</v>
      </c>
    </row>
    <row r="2496">
      <c r="D2496" s="6" t="s">
        <v>2035</v>
      </c>
    </row>
    <row r="2497">
      <c r="D2497" s="6" t="s">
        <v>2036</v>
      </c>
    </row>
    <row r="2498">
      <c r="D2498" s="6" t="s">
        <v>2037</v>
      </c>
    </row>
    <row r="2499">
      <c r="D2499" s="6" t="s">
        <v>2038</v>
      </c>
    </row>
    <row r="2500">
      <c r="D2500" s="6" t="s">
        <v>2040</v>
      </c>
    </row>
    <row r="2501">
      <c r="D2501" s="6" t="s">
        <v>2041</v>
      </c>
    </row>
    <row r="2502">
      <c r="D2502" s="6" t="s">
        <v>2042</v>
      </c>
    </row>
    <row r="2503">
      <c r="D2503" s="6" t="s">
        <v>2044</v>
      </c>
    </row>
    <row r="2504">
      <c r="D2504" s="6" t="s">
        <v>2045</v>
      </c>
    </row>
    <row r="2505">
      <c r="D2505" s="6" t="s">
        <v>2046</v>
      </c>
    </row>
    <row r="2506">
      <c r="D2506" s="6" t="s">
        <v>2047</v>
      </c>
    </row>
    <row r="2507">
      <c r="D2507" s="6" t="s">
        <v>2048</v>
      </c>
    </row>
    <row r="2508">
      <c r="D2508" s="6" t="s">
        <v>2050</v>
      </c>
    </row>
    <row r="2509">
      <c r="D2509" s="6" t="s">
        <v>2051</v>
      </c>
    </row>
    <row r="2510">
      <c r="D2510" s="6" t="s">
        <v>2052</v>
      </c>
    </row>
    <row r="2511">
      <c r="D2511" s="6" t="s">
        <v>2053</v>
      </c>
    </row>
    <row r="2512">
      <c r="D2512" s="6" t="s">
        <v>2054</v>
      </c>
    </row>
    <row r="2513">
      <c r="D2513" s="6" t="s">
        <v>2055</v>
      </c>
    </row>
    <row r="2514">
      <c r="D2514" s="6" t="s">
        <v>2056</v>
      </c>
    </row>
    <row r="2515">
      <c r="D2515" s="6" t="s">
        <v>2058</v>
      </c>
    </row>
    <row r="2516">
      <c r="D2516" s="6" t="s">
        <v>2059</v>
      </c>
    </row>
    <row r="2517">
      <c r="D2517" s="6" t="s">
        <v>2060</v>
      </c>
    </row>
    <row r="2518">
      <c r="D2518" s="6" t="s">
        <v>2061</v>
      </c>
    </row>
    <row r="2519">
      <c r="D2519" s="6" t="s">
        <v>2062</v>
      </c>
    </row>
    <row r="2520">
      <c r="D2520" s="6" t="s">
        <v>2063</v>
      </c>
    </row>
    <row r="2521">
      <c r="D2521" s="6" t="s">
        <v>2064</v>
      </c>
    </row>
    <row r="2522">
      <c r="D2522" s="6" t="s">
        <v>2066</v>
      </c>
    </row>
    <row r="2523">
      <c r="D2523" s="6" t="s">
        <v>2067</v>
      </c>
    </row>
    <row r="2524">
      <c r="D2524" s="6" t="s">
        <v>2068</v>
      </c>
    </row>
    <row r="2525">
      <c r="D2525" s="6" t="s">
        <v>2069</v>
      </c>
    </row>
    <row r="2526">
      <c r="D2526" s="6" t="s">
        <v>2070</v>
      </c>
    </row>
    <row r="2527">
      <c r="D2527" s="6" t="s">
        <v>2071</v>
      </c>
    </row>
    <row r="2528">
      <c r="D2528" s="6" t="s">
        <v>2072</v>
      </c>
    </row>
    <row r="2529">
      <c r="D2529" s="6" t="s">
        <v>2073</v>
      </c>
    </row>
    <row r="2530">
      <c r="D2530" s="6" t="s">
        <v>2074</v>
      </c>
    </row>
    <row r="2531">
      <c r="D2531" s="6" t="s">
        <v>2076</v>
      </c>
    </row>
    <row r="2532">
      <c r="D2532" s="6" t="s">
        <v>2077</v>
      </c>
    </row>
    <row r="2533">
      <c r="D2533" s="6" t="s">
        <v>2078</v>
      </c>
    </row>
    <row r="2534">
      <c r="D2534" s="6" t="s">
        <v>2079</v>
      </c>
    </row>
    <row r="2535">
      <c r="D2535" s="6" t="s">
        <v>2080</v>
      </c>
    </row>
    <row r="2536">
      <c r="D2536" s="6" t="s">
        <v>2081</v>
      </c>
    </row>
    <row r="2537">
      <c r="D2537" s="6" t="s">
        <v>2082</v>
      </c>
    </row>
    <row r="2538">
      <c r="D2538" s="6" t="s">
        <v>2083</v>
      </c>
    </row>
    <row r="2539">
      <c r="D2539" s="6" t="s">
        <v>2085</v>
      </c>
    </row>
    <row r="2540">
      <c r="D2540" s="6" t="s">
        <v>2086</v>
      </c>
    </row>
    <row r="2541">
      <c r="D2541" s="6" t="s">
        <v>2087</v>
      </c>
    </row>
    <row r="2542">
      <c r="D2542" s="6" t="s">
        <v>2088</v>
      </c>
    </row>
    <row r="2543">
      <c r="D2543" s="6" t="s">
        <v>2089</v>
      </c>
    </row>
    <row r="2544">
      <c r="D2544" s="6" t="s">
        <v>2090</v>
      </c>
    </row>
    <row r="2545">
      <c r="D2545" s="6" t="s">
        <v>2091</v>
      </c>
    </row>
    <row r="2546">
      <c r="D2546" s="6" t="s">
        <v>2092</v>
      </c>
    </row>
    <row r="2547">
      <c r="D2547" s="6" t="s">
        <v>2093</v>
      </c>
    </row>
    <row r="2548">
      <c r="D2548" s="6" t="s">
        <v>2094</v>
      </c>
    </row>
    <row r="2549">
      <c r="D2549" s="6" t="s">
        <v>2095</v>
      </c>
    </row>
    <row r="2550">
      <c r="D2550" s="6" t="s">
        <v>2097</v>
      </c>
    </row>
    <row r="2551">
      <c r="D2551" s="6" t="s">
        <v>2098</v>
      </c>
    </row>
    <row r="2552">
      <c r="D2552" s="6" t="s">
        <v>2099</v>
      </c>
    </row>
    <row r="2553">
      <c r="D2553" s="6" t="s">
        <v>2100</v>
      </c>
    </row>
    <row r="2554">
      <c r="D2554" s="6" t="s">
        <v>2101</v>
      </c>
    </row>
    <row r="2555">
      <c r="D2555" s="6" t="s">
        <v>2103</v>
      </c>
    </row>
    <row r="2556">
      <c r="D2556" s="6" t="s">
        <v>2104</v>
      </c>
    </row>
    <row r="2557">
      <c r="D2557" s="6" t="s">
        <v>2105</v>
      </c>
    </row>
    <row r="2558">
      <c r="D2558" s="6" t="s">
        <v>2107</v>
      </c>
    </row>
    <row r="2559">
      <c r="D2559" s="6" t="s">
        <v>2108</v>
      </c>
    </row>
    <row r="2560">
      <c r="D2560" s="6" t="s">
        <v>2109</v>
      </c>
    </row>
    <row r="2561">
      <c r="D2561" s="6" t="s">
        <v>2110</v>
      </c>
    </row>
    <row r="2562">
      <c r="D2562" s="6" t="s">
        <v>2111</v>
      </c>
    </row>
    <row r="2563">
      <c r="D2563" s="6" t="s">
        <v>2112</v>
      </c>
    </row>
    <row r="2564">
      <c r="D2564" s="6" t="s">
        <v>2113</v>
      </c>
    </row>
    <row r="2565">
      <c r="D2565" s="6" t="s">
        <v>2114</v>
      </c>
    </row>
    <row r="2566">
      <c r="D2566" s="6" t="s">
        <v>2115</v>
      </c>
    </row>
    <row r="2567">
      <c r="D2567" s="6" t="s">
        <v>2116</v>
      </c>
    </row>
    <row r="2568">
      <c r="D2568" s="6" t="s">
        <v>2117</v>
      </c>
    </row>
    <row r="2569">
      <c r="D2569" s="6" t="s">
        <v>2119</v>
      </c>
    </row>
    <row r="2570">
      <c r="D2570" s="6" t="s">
        <v>2120</v>
      </c>
    </row>
    <row r="2571">
      <c r="D2571" s="6" t="s">
        <v>2121</v>
      </c>
    </row>
    <row r="2572">
      <c r="D2572" s="6" t="s">
        <v>2122</v>
      </c>
    </row>
    <row r="2573">
      <c r="D2573" s="6" t="s">
        <v>2123</v>
      </c>
    </row>
    <row r="2574">
      <c r="D2574" s="6" t="s">
        <v>2124</v>
      </c>
    </row>
    <row r="2575">
      <c r="D2575" s="6" t="s">
        <v>2126</v>
      </c>
    </row>
    <row r="2576">
      <c r="D2576" s="6" t="s">
        <v>2127</v>
      </c>
    </row>
    <row r="2577">
      <c r="D2577" s="6" t="s">
        <v>2128</v>
      </c>
    </row>
    <row r="2578">
      <c r="D2578" s="6" t="s">
        <v>2129</v>
      </c>
    </row>
    <row r="2579">
      <c r="D2579" s="6" t="s">
        <v>2130</v>
      </c>
    </row>
    <row r="2580">
      <c r="D2580" s="6" t="s">
        <v>2131</v>
      </c>
    </row>
    <row r="2581">
      <c r="D2581" s="6" t="s">
        <v>2132</v>
      </c>
    </row>
    <row r="2582">
      <c r="D2582" s="6" t="s">
        <v>2134</v>
      </c>
    </row>
    <row r="2583">
      <c r="D2583" s="6" t="s">
        <v>2135</v>
      </c>
    </row>
    <row r="2584">
      <c r="D2584" s="6" t="s">
        <v>2136</v>
      </c>
    </row>
    <row r="2585">
      <c r="D2585" s="6" t="s">
        <v>2137</v>
      </c>
    </row>
    <row r="2586">
      <c r="D2586" s="6" t="s">
        <v>2138</v>
      </c>
    </row>
    <row r="2587">
      <c r="D2587" s="6" t="s">
        <v>2139</v>
      </c>
    </row>
    <row r="2588">
      <c r="D2588" s="6" t="s">
        <v>2140</v>
      </c>
    </row>
    <row r="2589">
      <c r="D2589" s="6" t="s">
        <v>2141</v>
      </c>
    </row>
    <row r="2590">
      <c r="D2590" s="6" t="s">
        <v>2142</v>
      </c>
    </row>
    <row r="2591">
      <c r="D2591" s="6" t="s">
        <v>2143</v>
      </c>
    </row>
    <row r="2592">
      <c r="D2592" s="6" t="s">
        <v>2144</v>
      </c>
    </row>
    <row r="2593">
      <c r="D2593" s="6" t="s">
        <v>2145</v>
      </c>
    </row>
    <row r="2594">
      <c r="D2594" s="6" t="s">
        <v>2147</v>
      </c>
    </row>
    <row r="2595">
      <c r="D2595" s="6" t="s">
        <v>2148</v>
      </c>
    </row>
    <row r="2596">
      <c r="D2596" s="6" t="s">
        <v>2149</v>
      </c>
    </row>
    <row r="2597">
      <c r="D2597" s="6" t="s">
        <v>2150</v>
      </c>
    </row>
    <row r="2598">
      <c r="D2598" s="6" t="s">
        <v>2151</v>
      </c>
    </row>
    <row r="2599">
      <c r="D2599" s="6" t="s">
        <v>2152</v>
      </c>
    </row>
    <row r="2600">
      <c r="D2600" s="6" t="s">
        <v>2154</v>
      </c>
    </row>
    <row r="2601">
      <c r="D2601" s="6" t="s">
        <v>2155</v>
      </c>
    </row>
    <row r="2602">
      <c r="D2602" s="6" t="s">
        <v>2156</v>
      </c>
    </row>
    <row r="2603">
      <c r="D2603" s="6" t="s">
        <v>2158</v>
      </c>
    </row>
    <row r="2604">
      <c r="D2604" s="6" t="s">
        <v>2159</v>
      </c>
    </row>
    <row r="2605">
      <c r="D2605" s="6" t="s">
        <v>2160</v>
      </c>
    </row>
    <row r="2606">
      <c r="D2606" s="6" t="s">
        <v>2161</v>
      </c>
    </row>
    <row r="2607">
      <c r="D2607" s="6" t="s">
        <v>2163</v>
      </c>
    </row>
    <row r="2608">
      <c r="D2608" s="6" t="s">
        <v>2164</v>
      </c>
    </row>
    <row r="2609">
      <c r="D2609" s="6" t="s">
        <v>2165</v>
      </c>
    </row>
    <row r="2610">
      <c r="D2610" s="6" t="s">
        <v>2166</v>
      </c>
    </row>
    <row r="2611">
      <c r="D2611" s="6" t="s">
        <v>2167</v>
      </c>
    </row>
    <row r="2612">
      <c r="D2612" s="6" t="s">
        <v>2169</v>
      </c>
    </row>
    <row r="2613">
      <c r="D2613" s="6" t="s">
        <v>2170</v>
      </c>
    </row>
    <row r="2614">
      <c r="D2614" s="6" t="s">
        <v>2171</v>
      </c>
    </row>
    <row r="2615">
      <c r="D2615" s="6" t="s">
        <v>2172</v>
      </c>
    </row>
    <row r="2616">
      <c r="C2616" s="6"/>
      <c r="D2616" s="6" t="s">
        <v>2173</v>
      </c>
    </row>
    <row r="2617">
      <c r="B2617" s="6"/>
      <c r="D2617" s="6" t="s">
        <v>2175</v>
      </c>
    </row>
    <row r="2618">
      <c r="D2618" s="6" t="s">
        <v>2176</v>
      </c>
    </row>
    <row r="2619">
      <c r="A2619" s="6"/>
      <c r="D2619" s="6" t="s">
        <v>2177</v>
      </c>
    </row>
    <row r="2620">
      <c r="A2620" s="6"/>
      <c r="D2620" s="6" t="s">
        <v>2178</v>
      </c>
    </row>
    <row r="2621">
      <c r="A2621" s="6"/>
      <c r="D2621" s="6" t="s">
        <v>2179</v>
      </c>
    </row>
    <row r="2622">
      <c r="A2622" s="6"/>
      <c r="D2622" s="6" t="s">
        <v>2181</v>
      </c>
    </row>
    <row r="2623">
      <c r="A2623" s="6"/>
      <c r="D2623" s="6" t="s">
        <v>2182</v>
      </c>
    </row>
    <row r="2624">
      <c r="A2624" s="6"/>
      <c r="D2624" s="6" t="s">
        <v>2183</v>
      </c>
    </row>
    <row r="2625">
      <c r="A2625" s="6"/>
      <c r="D2625" s="6" t="s">
        <v>2184</v>
      </c>
    </row>
    <row r="2626">
      <c r="A2626" s="6"/>
      <c r="D2626" s="6" t="s">
        <v>2185</v>
      </c>
    </row>
    <row r="2627">
      <c r="A2627" s="6"/>
      <c r="D2627" s="6" t="s">
        <v>2187</v>
      </c>
    </row>
    <row r="2628">
      <c r="A2628" s="6"/>
      <c r="D2628" s="6" t="s">
        <v>2188</v>
      </c>
    </row>
    <row r="2629">
      <c r="A2629" s="6"/>
      <c r="D2629" s="6" t="s">
        <v>2189</v>
      </c>
    </row>
    <row r="2630">
      <c r="A2630" s="6"/>
      <c r="D2630" s="6" t="s">
        <v>2190</v>
      </c>
    </row>
    <row r="2631">
      <c r="A2631" s="6"/>
      <c r="D2631" s="6" t="s">
        <v>2191</v>
      </c>
    </row>
    <row r="2632">
      <c r="A2632" s="6"/>
      <c r="D2632" s="6" t="s">
        <v>2192</v>
      </c>
    </row>
    <row r="2633">
      <c r="A2633" s="6"/>
      <c r="D2633" s="6" t="s">
        <v>2194</v>
      </c>
    </row>
    <row r="2634">
      <c r="A2634" s="6"/>
      <c r="D2634" s="6" t="s">
        <v>2195</v>
      </c>
    </row>
    <row r="2635">
      <c r="A2635" s="6"/>
      <c r="D2635" s="6" t="s">
        <v>2196</v>
      </c>
    </row>
    <row r="2636">
      <c r="A2636" s="6"/>
      <c r="D2636" s="6" t="s">
        <v>2197</v>
      </c>
    </row>
    <row r="2637">
      <c r="A2637" s="6"/>
      <c r="D2637" s="6" t="s">
        <v>2198</v>
      </c>
    </row>
    <row r="2638">
      <c r="A2638" s="6"/>
      <c r="D2638" s="6" t="s">
        <v>2199</v>
      </c>
    </row>
    <row r="2639">
      <c r="A2639" s="6"/>
      <c r="D2639" s="6" t="s">
        <v>2200</v>
      </c>
    </row>
    <row r="2640">
      <c r="A2640" s="6"/>
      <c r="D2640" s="6" t="s">
        <v>2201</v>
      </c>
    </row>
    <row r="2641">
      <c r="A2641" s="6"/>
      <c r="D2641" s="6" t="s">
        <v>2202</v>
      </c>
    </row>
    <row r="2642">
      <c r="A2642" s="6"/>
      <c r="D2642" s="6" t="s">
        <v>2203</v>
      </c>
    </row>
    <row r="2643">
      <c r="A2643" s="6"/>
      <c r="D2643" s="6" t="s">
        <v>2205</v>
      </c>
    </row>
    <row r="2644">
      <c r="A2644" s="6"/>
      <c r="C2644" s="6" t="s">
        <v>1310</v>
      </c>
    </row>
    <row r="2645">
      <c r="A2645" s="6"/>
      <c r="B2645" s="6" t="s">
        <v>1310</v>
      </c>
    </row>
    <row r="2646">
      <c r="A2646" s="6"/>
    </row>
    <row r="2647">
      <c r="A2647" s="6" t="s">
        <v>1310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2.86"/>
    <col customWidth="1" min="3" max="3" width="33.29"/>
    <col customWidth="1" min="4" max="4" width="49.14"/>
    <col customWidth="1" min="5" max="26" width="8.86"/>
  </cols>
  <sheetData>
    <row r="1" ht="12.0" customHeight="1">
      <c r="A1" s="46" t="s">
        <v>1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ht="12.0" customHeight="1">
      <c r="L2" s="27"/>
      <c r="M2" s="47"/>
      <c r="N2" s="48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2.0" customHeight="1">
      <c r="A3" s="22"/>
      <c r="B3" s="22"/>
      <c r="C3" s="22"/>
      <c r="D3" s="22"/>
      <c r="K3" s="49"/>
    </row>
    <row r="4" ht="12.0" customHeight="1">
      <c r="A4" s="22"/>
      <c r="B4" s="22"/>
      <c r="C4" s="50" t="s">
        <v>2913</v>
      </c>
      <c r="D4" s="51" t="s">
        <v>2915</v>
      </c>
      <c r="E4" s="27" t="s">
        <v>2916</v>
      </c>
      <c r="K4" s="49"/>
    </row>
    <row r="5" ht="12.0" customHeight="1">
      <c r="A5" s="22"/>
      <c r="B5" s="22"/>
      <c r="C5" s="52"/>
      <c r="D5" s="53" t="s">
        <v>2918</v>
      </c>
      <c r="E5" s="22" t="s">
        <v>2919</v>
      </c>
      <c r="K5" s="49"/>
    </row>
    <row r="6" ht="12.0" customHeight="1">
      <c r="A6" s="22"/>
      <c r="B6" s="22"/>
      <c r="C6" s="54"/>
      <c r="D6" s="55" t="s">
        <v>2921</v>
      </c>
      <c r="E6" s="22" t="s">
        <v>2922</v>
      </c>
      <c r="K6" s="49"/>
    </row>
    <row r="7" ht="12.0" customHeight="1">
      <c r="A7" s="22"/>
      <c r="B7" s="22"/>
      <c r="C7" s="22"/>
      <c r="D7" s="22"/>
      <c r="K7" s="49"/>
      <c r="O7" s="27"/>
      <c r="P7" s="27"/>
      <c r="Q7" s="27"/>
      <c r="R7" s="27"/>
    </row>
    <row r="8" ht="12.0" customHeight="1">
      <c r="A8" s="56" t="s">
        <v>114</v>
      </c>
      <c r="B8" s="56"/>
      <c r="C8" s="22"/>
      <c r="D8" s="22"/>
      <c r="K8" s="49"/>
      <c r="M8" s="7" t="s">
        <v>2924</v>
      </c>
      <c r="O8" s="27"/>
      <c r="P8" s="27"/>
      <c r="Q8" s="27"/>
      <c r="R8" s="27"/>
    </row>
    <row r="9" ht="12.75" customHeight="1">
      <c r="A9" s="22"/>
      <c r="B9" s="22"/>
      <c r="C9" s="22"/>
      <c r="D9" s="22"/>
      <c r="J9" s="57" t="s">
        <v>2926</v>
      </c>
      <c r="K9" s="49"/>
      <c r="O9" s="27"/>
      <c r="P9" s="27"/>
      <c r="Q9" s="27"/>
      <c r="R9" s="27"/>
    </row>
    <row r="10" ht="12.75" customHeight="1">
      <c r="A10" s="22"/>
      <c r="B10" s="22"/>
      <c r="C10" s="57" t="s">
        <v>2927</v>
      </c>
      <c r="D10" s="57" t="s">
        <v>2928</v>
      </c>
      <c r="E10" s="57" t="s">
        <v>2929</v>
      </c>
      <c r="F10" s="57" t="s">
        <v>12</v>
      </c>
      <c r="G10" s="57"/>
      <c r="H10" s="57"/>
      <c r="J10" s="58">
        <v>1.0</v>
      </c>
      <c r="K10" s="59" t="s">
        <v>22</v>
      </c>
      <c r="O10" s="27"/>
      <c r="P10" s="27"/>
      <c r="Q10" s="27"/>
      <c r="R10" s="27"/>
    </row>
    <row r="11" ht="12.0" customHeight="1">
      <c r="A11" s="22"/>
      <c r="B11" s="22"/>
      <c r="C11" s="27"/>
      <c r="D11" s="22" t="s">
        <v>2932</v>
      </c>
      <c r="E11" s="27">
        <v>160.0</v>
      </c>
      <c r="F11" s="27">
        <v>2.0</v>
      </c>
      <c r="K11" s="49">
        <f t="shared" ref="K11:K43" si="1">E11*F11*$J$10</f>
        <v>320</v>
      </c>
      <c r="O11" s="27"/>
      <c r="P11" s="27"/>
      <c r="Q11" s="27"/>
      <c r="R11" s="27"/>
    </row>
    <row r="12" ht="12.0" customHeight="1">
      <c r="A12" s="22"/>
      <c r="B12" s="22"/>
      <c r="C12" s="27"/>
      <c r="D12" s="22" t="s">
        <v>2936</v>
      </c>
      <c r="E12" s="27">
        <v>160.0</v>
      </c>
      <c r="F12" s="27">
        <v>2.0</v>
      </c>
      <c r="K12" s="49">
        <f t="shared" si="1"/>
        <v>320</v>
      </c>
      <c r="O12" s="27"/>
      <c r="P12" s="27"/>
      <c r="Q12" s="27"/>
      <c r="R12" s="27"/>
    </row>
    <row r="13" ht="12.0" customHeight="1">
      <c r="A13" s="22"/>
      <c r="B13" s="22"/>
      <c r="C13" s="27"/>
      <c r="D13" s="22" t="s">
        <v>2939</v>
      </c>
      <c r="E13" s="27">
        <v>160.0</v>
      </c>
      <c r="F13" s="27">
        <v>2.0</v>
      </c>
      <c r="K13" s="49">
        <f t="shared" si="1"/>
        <v>320</v>
      </c>
      <c r="O13" s="27"/>
      <c r="P13" s="27"/>
      <c r="Q13" s="27"/>
      <c r="R13" s="27"/>
    </row>
    <row r="14" ht="12.0" customHeight="1">
      <c r="A14" s="22"/>
      <c r="B14" s="22"/>
      <c r="C14" s="27"/>
      <c r="D14" s="22" t="s">
        <v>2941</v>
      </c>
      <c r="E14" s="27">
        <v>160.0</v>
      </c>
      <c r="F14" s="27">
        <v>2.0</v>
      </c>
      <c r="K14" s="49">
        <f t="shared" si="1"/>
        <v>320</v>
      </c>
      <c r="O14" s="27"/>
      <c r="P14" s="27"/>
      <c r="Q14" s="27"/>
      <c r="R14" s="27"/>
    </row>
    <row r="15" ht="12.0" customHeight="1">
      <c r="A15" s="22"/>
      <c r="B15" s="22"/>
      <c r="C15" s="27"/>
      <c r="D15" s="22" t="s">
        <v>2942</v>
      </c>
      <c r="E15" s="27">
        <v>160.0</v>
      </c>
      <c r="F15" s="27">
        <v>2.0</v>
      </c>
      <c r="K15" s="49">
        <f t="shared" si="1"/>
        <v>320</v>
      </c>
      <c r="O15" s="27"/>
      <c r="P15" s="27"/>
      <c r="Q15" s="27"/>
      <c r="R15" s="27"/>
    </row>
    <row r="16" ht="12.0" customHeight="1">
      <c r="A16" s="22"/>
      <c r="B16" s="22"/>
      <c r="C16" s="27"/>
      <c r="D16" s="22" t="s">
        <v>2944</v>
      </c>
      <c r="E16" s="27">
        <v>160.0</v>
      </c>
      <c r="F16" s="27">
        <v>2.0</v>
      </c>
      <c r="K16" s="49">
        <f t="shared" si="1"/>
        <v>320</v>
      </c>
      <c r="O16" s="27"/>
      <c r="P16" s="27"/>
      <c r="Q16" s="27"/>
      <c r="R16" s="27"/>
    </row>
    <row r="17" ht="12.0" customHeight="1">
      <c r="A17" s="22"/>
      <c r="B17" s="22"/>
      <c r="C17" s="27"/>
      <c r="D17" s="22" t="s">
        <v>2945</v>
      </c>
      <c r="E17" s="27">
        <v>160.0</v>
      </c>
      <c r="F17" s="27">
        <v>2.0</v>
      </c>
      <c r="K17" s="49">
        <f t="shared" si="1"/>
        <v>320</v>
      </c>
      <c r="O17" s="27"/>
      <c r="P17" s="27"/>
      <c r="Q17" s="27"/>
      <c r="R17" s="27"/>
    </row>
    <row r="18" ht="12.0" customHeight="1">
      <c r="A18" s="22"/>
      <c r="B18" s="22"/>
      <c r="C18" s="27"/>
      <c r="D18" s="22" t="s">
        <v>2947</v>
      </c>
      <c r="E18" s="27">
        <v>200.0</v>
      </c>
      <c r="F18" s="27">
        <v>2.0</v>
      </c>
      <c r="K18" s="49">
        <f t="shared" si="1"/>
        <v>400</v>
      </c>
      <c r="O18" s="27"/>
      <c r="P18" s="27"/>
      <c r="Q18" s="27"/>
      <c r="R18" s="27"/>
    </row>
    <row r="19" ht="12.0" customHeight="1">
      <c r="A19" s="22"/>
      <c r="B19" s="22"/>
      <c r="C19" s="27"/>
      <c r="D19" s="22" t="s">
        <v>2948</v>
      </c>
      <c r="E19" s="27">
        <v>200.0</v>
      </c>
      <c r="F19" s="27">
        <v>2.0</v>
      </c>
      <c r="K19" s="49">
        <f t="shared" si="1"/>
        <v>400</v>
      </c>
      <c r="O19" s="27"/>
      <c r="P19" s="27"/>
      <c r="Q19" s="27"/>
      <c r="R19" s="27"/>
    </row>
    <row r="20" ht="12.0" customHeight="1">
      <c r="A20" s="22"/>
      <c r="B20" s="22"/>
      <c r="C20" s="27"/>
      <c r="D20" s="22" t="s">
        <v>2950</v>
      </c>
      <c r="E20" s="27">
        <v>200.0</v>
      </c>
      <c r="F20" s="27">
        <v>2.0</v>
      </c>
      <c r="K20" s="49">
        <f t="shared" si="1"/>
        <v>400</v>
      </c>
      <c r="O20" s="27"/>
      <c r="P20" s="27"/>
      <c r="Q20" s="27"/>
      <c r="R20" s="27"/>
    </row>
    <row r="21" ht="12.0" customHeight="1">
      <c r="A21" s="22"/>
      <c r="B21" s="22"/>
      <c r="C21" s="27"/>
      <c r="D21" s="22" t="s">
        <v>2951</v>
      </c>
      <c r="E21" s="27">
        <v>200.0</v>
      </c>
      <c r="F21" s="27">
        <v>2.0</v>
      </c>
      <c r="K21" s="49">
        <f t="shared" si="1"/>
        <v>400</v>
      </c>
      <c r="O21" s="27"/>
      <c r="P21" s="27"/>
      <c r="Q21" s="27"/>
      <c r="R21" s="27"/>
    </row>
    <row r="22" ht="12.0" customHeight="1">
      <c r="A22" s="22"/>
      <c r="B22" s="22"/>
      <c r="C22" s="27"/>
      <c r="D22" s="22" t="s">
        <v>2952</v>
      </c>
      <c r="E22" s="27">
        <v>240.0</v>
      </c>
      <c r="F22" s="27">
        <v>2.0</v>
      </c>
      <c r="K22" s="49">
        <f t="shared" si="1"/>
        <v>480</v>
      </c>
      <c r="O22" s="27"/>
      <c r="P22" s="27"/>
      <c r="Q22" s="27"/>
      <c r="R22" s="27"/>
    </row>
    <row r="23" ht="12.0" customHeight="1">
      <c r="A23" s="22"/>
      <c r="B23" s="22"/>
      <c r="C23" s="27"/>
      <c r="D23" s="22" t="s">
        <v>2954</v>
      </c>
      <c r="E23" s="27">
        <v>240.0</v>
      </c>
      <c r="F23" s="27">
        <v>2.0</v>
      </c>
      <c r="K23" s="49">
        <f t="shared" si="1"/>
        <v>480</v>
      </c>
      <c r="O23" s="27"/>
      <c r="P23" s="27"/>
      <c r="Q23" s="27"/>
      <c r="R23" s="27"/>
    </row>
    <row r="24" ht="12.0" customHeight="1">
      <c r="A24" s="22"/>
      <c r="B24" s="22"/>
      <c r="C24" s="27"/>
      <c r="D24" s="22" t="s">
        <v>2956</v>
      </c>
      <c r="E24" s="27">
        <v>240.0</v>
      </c>
      <c r="F24" s="27">
        <v>2.0</v>
      </c>
      <c r="K24" s="49">
        <f t="shared" si="1"/>
        <v>480</v>
      </c>
      <c r="O24" s="27"/>
      <c r="P24" s="27"/>
      <c r="Q24" s="27"/>
      <c r="R24" s="27"/>
    </row>
    <row r="25" ht="12.0" customHeight="1">
      <c r="A25" s="22"/>
      <c r="B25" s="22"/>
      <c r="C25" s="27"/>
      <c r="D25" s="22" t="s">
        <v>2958</v>
      </c>
      <c r="E25" s="27">
        <v>240.0</v>
      </c>
      <c r="F25" s="27">
        <v>2.0</v>
      </c>
      <c r="K25" s="49">
        <f t="shared" si="1"/>
        <v>480</v>
      </c>
      <c r="O25" s="27"/>
      <c r="P25" s="27"/>
      <c r="Q25" s="27"/>
      <c r="R25" s="27"/>
    </row>
    <row r="26" ht="12.0" customHeight="1">
      <c r="A26" s="22"/>
      <c r="B26" s="22"/>
      <c r="C26" s="27"/>
      <c r="D26" s="22" t="s">
        <v>2960</v>
      </c>
      <c r="E26" s="27">
        <v>240.0</v>
      </c>
      <c r="F26" s="27">
        <v>2.0</v>
      </c>
      <c r="K26" s="49">
        <f t="shared" si="1"/>
        <v>480</v>
      </c>
      <c r="O26" s="27"/>
      <c r="P26" s="27"/>
      <c r="Q26" s="27"/>
      <c r="R26" s="27"/>
    </row>
    <row r="27" ht="12.0" customHeight="1">
      <c r="A27" s="22"/>
      <c r="B27" s="22"/>
      <c r="C27" s="27"/>
      <c r="D27" s="22" t="s">
        <v>2961</v>
      </c>
      <c r="E27" s="27">
        <v>280.0</v>
      </c>
      <c r="F27" s="27">
        <v>3.0</v>
      </c>
      <c r="K27" s="49">
        <f t="shared" si="1"/>
        <v>840</v>
      </c>
      <c r="O27" s="27"/>
      <c r="P27" s="27"/>
      <c r="Q27" s="27"/>
      <c r="R27" s="27"/>
    </row>
    <row r="28" ht="12.0" customHeight="1">
      <c r="A28" s="22"/>
      <c r="B28" s="22"/>
      <c r="C28" s="27"/>
      <c r="D28" s="22" t="s">
        <v>2963</v>
      </c>
      <c r="E28" s="27">
        <v>280.0</v>
      </c>
      <c r="F28" s="27">
        <v>3.0</v>
      </c>
      <c r="K28" s="49">
        <f t="shared" si="1"/>
        <v>840</v>
      </c>
      <c r="O28" s="27"/>
      <c r="P28" s="27"/>
      <c r="Q28" s="27"/>
      <c r="R28" s="27"/>
    </row>
    <row r="29" ht="12.0" customHeight="1">
      <c r="A29" s="22"/>
      <c r="B29" s="22"/>
      <c r="C29" s="27"/>
      <c r="D29" s="22" t="s">
        <v>2964</v>
      </c>
      <c r="E29" s="27">
        <v>280.0</v>
      </c>
      <c r="F29" s="27">
        <v>3.0</v>
      </c>
      <c r="K29" s="49">
        <f t="shared" si="1"/>
        <v>840</v>
      </c>
      <c r="O29" s="27"/>
      <c r="P29" s="27"/>
      <c r="Q29" s="27"/>
      <c r="R29" s="27"/>
    </row>
    <row r="30" ht="12.0" customHeight="1">
      <c r="A30" s="22"/>
      <c r="B30" s="22"/>
      <c r="C30" s="27"/>
      <c r="D30" s="22" t="s">
        <v>2966</v>
      </c>
      <c r="E30" s="27">
        <v>320.0</v>
      </c>
      <c r="F30" s="27">
        <v>3.0</v>
      </c>
      <c r="K30" s="49">
        <f t="shared" si="1"/>
        <v>960</v>
      </c>
      <c r="O30" s="27"/>
      <c r="P30" s="27"/>
      <c r="Q30" s="27"/>
      <c r="R30" s="27"/>
    </row>
    <row r="31" ht="12.0" customHeight="1">
      <c r="A31" s="22"/>
      <c r="B31" s="22"/>
      <c r="C31" s="27"/>
      <c r="D31" s="22" t="s">
        <v>2967</v>
      </c>
      <c r="E31" s="27">
        <v>320.0</v>
      </c>
      <c r="F31" s="27">
        <v>3.0</v>
      </c>
      <c r="K31" s="49">
        <f t="shared" si="1"/>
        <v>960</v>
      </c>
      <c r="O31" s="27"/>
      <c r="P31" s="27"/>
      <c r="Q31" s="27"/>
      <c r="R31" s="27"/>
    </row>
    <row r="32" ht="12.0" customHeight="1">
      <c r="A32" s="22"/>
      <c r="B32" s="22"/>
      <c r="C32" s="27"/>
      <c r="D32" s="22" t="s">
        <v>2969</v>
      </c>
      <c r="E32" s="27">
        <v>320.0</v>
      </c>
      <c r="F32" s="27">
        <v>3.0</v>
      </c>
      <c r="K32" s="49">
        <f t="shared" si="1"/>
        <v>960</v>
      </c>
      <c r="O32" s="27"/>
      <c r="P32" s="27"/>
      <c r="Q32" s="27"/>
      <c r="R32" s="27"/>
    </row>
    <row r="33" ht="12.0" customHeight="1">
      <c r="A33" s="22"/>
      <c r="B33" s="22"/>
      <c r="C33" s="27"/>
      <c r="D33" s="22" t="s">
        <v>2970</v>
      </c>
      <c r="E33" s="27">
        <v>320.0</v>
      </c>
      <c r="F33" s="27">
        <v>3.0</v>
      </c>
      <c r="K33" s="49">
        <f t="shared" si="1"/>
        <v>960</v>
      </c>
      <c r="O33" s="27"/>
      <c r="P33" s="27"/>
      <c r="Q33" s="27"/>
      <c r="R33" s="27"/>
    </row>
    <row r="34" ht="12.0" customHeight="1">
      <c r="A34" s="22"/>
      <c r="B34" s="22"/>
      <c r="C34" s="27"/>
      <c r="D34" s="22" t="s">
        <v>2972</v>
      </c>
      <c r="E34" s="27">
        <v>320.0</v>
      </c>
      <c r="F34" s="27">
        <v>3.0</v>
      </c>
      <c r="K34" s="49">
        <f t="shared" si="1"/>
        <v>960</v>
      </c>
      <c r="O34" s="27"/>
      <c r="P34" s="27"/>
      <c r="Q34" s="27"/>
      <c r="R34" s="27"/>
    </row>
    <row r="35" ht="12.0" customHeight="1">
      <c r="A35" s="22"/>
      <c r="B35" s="22"/>
      <c r="C35" s="27"/>
      <c r="D35" s="22" t="s">
        <v>2973</v>
      </c>
      <c r="E35" s="27">
        <v>320.0</v>
      </c>
      <c r="F35" s="27">
        <v>3.0</v>
      </c>
      <c r="K35" s="49">
        <f t="shared" si="1"/>
        <v>960</v>
      </c>
      <c r="O35" s="27"/>
      <c r="P35" s="27"/>
      <c r="Q35" s="27"/>
      <c r="R35" s="27"/>
    </row>
    <row r="36" ht="12.0" customHeight="1">
      <c r="A36" s="22"/>
      <c r="B36" s="22"/>
      <c r="C36" s="27"/>
      <c r="D36" s="22" t="s">
        <v>2975</v>
      </c>
      <c r="E36" s="27">
        <v>280.0</v>
      </c>
      <c r="F36" s="27">
        <v>3.0</v>
      </c>
      <c r="K36" s="49">
        <f t="shared" si="1"/>
        <v>840</v>
      </c>
      <c r="O36" s="27"/>
      <c r="P36" s="27"/>
      <c r="Q36" s="27"/>
      <c r="R36" s="27"/>
    </row>
    <row r="37" ht="12.0" customHeight="1">
      <c r="A37" s="22"/>
      <c r="B37" s="22"/>
      <c r="C37" s="27"/>
      <c r="D37" s="22" t="s">
        <v>2976</v>
      </c>
      <c r="E37" s="27">
        <v>280.0</v>
      </c>
      <c r="F37" s="27">
        <v>3.0</v>
      </c>
      <c r="K37" s="49">
        <f t="shared" si="1"/>
        <v>840</v>
      </c>
      <c r="O37" s="27"/>
      <c r="P37" s="27"/>
      <c r="Q37" s="27"/>
      <c r="R37" s="27"/>
    </row>
    <row r="38" ht="12.0" customHeight="1">
      <c r="A38" s="22"/>
      <c r="B38" s="22"/>
      <c r="C38" s="27"/>
      <c r="D38" s="22" t="s">
        <v>2978</v>
      </c>
      <c r="E38" s="27">
        <v>280.0</v>
      </c>
      <c r="F38" s="27">
        <v>3.0</v>
      </c>
      <c r="K38" s="49">
        <f t="shared" si="1"/>
        <v>840</v>
      </c>
      <c r="O38" s="27"/>
      <c r="P38" s="27"/>
      <c r="Q38" s="27"/>
      <c r="R38" s="27"/>
    </row>
    <row r="39" ht="12.0" customHeight="1">
      <c r="A39" s="22"/>
      <c r="B39" s="22"/>
      <c r="C39" s="27"/>
      <c r="D39" s="22" t="s">
        <v>2979</v>
      </c>
      <c r="E39" s="27">
        <v>280.0</v>
      </c>
      <c r="F39" s="27">
        <v>3.0</v>
      </c>
      <c r="K39" s="49">
        <f t="shared" si="1"/>
        <v>840</v>
      </c>
      <c r="O39" s="27"/>
      <c r="P39" s="27"/>
      <c r="Q39" s="27"/>
      <c r="R39" s="27"/>
    </row>
    <row r="40" ht="12.0" customHeight="1">
      <c r="A40" s="22"/>
      <c r="B40" s="22"/>
      <c r="C40" s="27"/>
      <c r="D40" s="22" t="s">
        <v>2981</v>
      </c>
      <c r="E40" s="27">
        <v>120.0</v>
      </c>
      <c r="F40" s="27">
        <v>1.0</v>
      </c>
      <c r="K40" s="49">
        <f t="shared" si="1"/>
        <v>120</v>
      </c>
    </row>
    <row r="41" ht="12.0" customHeight="1">
      <c r="A41" s="22"/>
      <c r="B41" s="22"/>
      <c r="C41" s="27"/>
      <c r="D41" s="22" t="s">
        <v>2982</v>
      </c>
      <c r="E41" s="27">
        <v>120.0</v>
      </c>
      <c r="F41" s="27">
        <v>1.0</v>
      </c>
      <c r="K41" s="49">
        <f t="shared" si="1"/>
        <v>120</v>
      </c>
    </row>
    <row r="42" ht="12.0" customHeight="1">
      <c r="A42" s="22"/>
      <c r="B42" s="22"/>
      <c r="C42" s="27"/>
      <c r="D42" s="22" t="s">
        <v>2984</v>
      </c>
      <c r="E42" s="27">
        <v>120.0</v>
      </c>
      <c r="F42" s="27">
        <v>1.0</v>
      </c>
      <c r="K42" s="49">
        <f t="shared" si="1"/>
        <v>120</v>
      </c>
    </row>
    <row r="43" ht="12.0" customHeight="1">
      <c r="A43" s="22"/>
      <c r="B43" s="22"/>
      <c r="C43" s="27"/>
      <c r="D43" s="22" t="s">
        <v>2986</v>
      </c>
      <c r="E43" s="27">
        <v>120.0</v>
      </c>
      <c r="F43" s="27">
        <v>1.0</v>
      </c>
      <c r="K43" s="49">
        <f t="shared" si="1"/>
        <v>120</v>
      </c>
    </row>
    <row r="44" ht="12.0" customHeight="1">
      <c r="A44" s="22"/>
      <c r="B44" s="22"/>
      <c r="C44" s="27"/>
      <c r="D44" s="60" t="s">
        <v>2987</v>
      </c>
      <c r="E44" s="60">
        <v>0.0</v>
      </c>
      <c r="F44" s="60">
        <v>2.0</v>
      </c>
      <c r="K44" s="61">
        <v>500.0</v>
      </c>
      <c r="L44" s="6" t="s">
        <v>2989</v>
      </c>
    </row>
    <row r="45" ht="12.0" customHeight="1">
      <c r="A45" s="22"/>
      <c r="B45" s="22"/>
      <c r="C45" s="27"/>
      <c r="D45" s="27"/>
      <c r="E45" s="27"/>
      <c r="F45" s="27"/>
      <c r="K45" s="49"/>
    </row>
    <row r="46" ht="12.0" customHeight="1">
      <c r="A46" s="56" t="s">
        <v>230</v>
      </c>
      <c r="B46" s="56"/>
      <c r="C46" s="27"/>
      <c r="D46" s="27"/>
      <c r="E46" s="27"/>
      <c r="F46" s="27"/>
      <c r="K46" s="49"/>
    </row>
    <row r="47" ht="12.75" customHeight="1">
      <c r="A47" s="22"/>
      <c r="B47" s="22"/>
      <c r="C47" s="27"/>
      <c r="D47" s="27"/>
      <c r="E47" s="27"/>
      <c r="F47" s="27"/>
      <c r="J47" s="57" t="s">
        <v>2926</v>
      </c>
      <c r="K47" s="49"/>
    </row>
    <row r="48" ht="12.75" customHeight="1">
      <c r="A48" s="22"/>
      <c r="B48" s="22"/>
      <c r="C48" s="57" t="s">
        <v>2927</v>
      </c>
      <c r="D48" s="57" t="s">
        <v>2928</v>
      </c>
      <c r="E48" s="57" t="s">
        <v>17</v>
      </c>
      <c r="F48" s="57" t="s">
        <v>2929</v>
      </c>
      <c r="G48" s="57" t="s">
        <v>12</v>
      </c>
      <c r="H48" s="57"/>
      <c r="J48" s="58">
        <v>1.0</v>
      </c>
      <c r="K48" s="59" t="s">
        <v>22</v>
      </c>
    </row>
    <row r="49" ht="12.0" customHeight="1">
      <c r="A49" s="22"/>
      <c r="B49" s="22"/>
      <c r="C49" s="57"/>
      <c r="D49" s="62" t="s">
        <v>2991</v>
      </c>
      <c r="E49" s="63">
        <v>0.0</v>
      </c>
      <c r="F49" s="63">
        <v>40.0</v>
      </c>
      <c r="G49" s="63">
        <v>1.0</v>
      </c>
      <c r="H49" s="57"/>
      <c r="J49" s="57"/>
      <c r="K49" s="49">
        <f t="shared" ref="K49:K90" si="2">(((E49*5)+(F49*1))*G49)*$J$48</f>
        <v>40</v>
      </c>
    </row>
    <row r="50" ht="12.0" customHeight="1">
      <c r="A50" s="22"/>
      <c r="B50" s="22"/>
      <c r="C50" s="27"/>
      <c r="D50" s="22" t="s">
        <v>2996</v>
      </c>
      <c r="E50" s="27">
        <v>0.0</v>
      </c>
      <c r="F50" s="27">
        <v>80.0</v>
      </c>
      <c r="G50" s="22">
        <v>1.0</v>
      </c>
      <c r="K50" s="49">
        <f t="shared" si="2"/>
        <v>80</v>
      </c>
    </row>
    <row r="51" ht="12.0" customHeight="1">
      <c r="A51" s="22"/>
      <c r="B51" s="22"/>
      <c r="C51" s="27"/>
      <c r="D51" s="22" t="s">
        <v>2997</v>
      </c>
      <c r="E51" s="27">
        <v>0.0</v>
      </c>
      <c r="F51" s="27">
        <v>80.0</v>
      </c>
      <c r="G51" s="22">
        <v>1.0</v>
      </c>
      <c r="K51" s="49">
        <f t="shared" si="2"/>
        <v>80</v>
      </c>
    </row>
    <row r="52" ht="12.0" customHeight="1">
      <c r="A52" s="22"/>
      <c r="B52" s="22"/>
      <c r="C52" s="27"/>
      <c r="D52" s="22" t="s">
        <v>2999</v>
      </c>
      <c r="E52" s="27">
        <v>0.0</v>
      </c>
      <c r="F52" s="27">
        <v>80.0</v>
      </c>
      <c r="G52" s="22">
        <v>1.0</v>
      </c>
      <c r="K52" s="49">
        <f t="shared" si="2"/>
        <v>80</v>
      </c>
    </row>
    <row r="53" ht="12.0" customHeight="1">
      <c r="A53" s="22"/>
      <c r="B53" s="22"/>
      <c r="C53" s="27"/>
      <c r="D53" s="22" t="s">
        <v>3001</v>
      </c>
      <c r="E53" s="27">
        <v>0.0</v>
      </c>
      <c r="F53" s="27">
        <v>80.0</v>
      </c>
      <c r="G53" s="22">
        <v>1.0</v>
      </c>
      <c r="K53" s="49">
        <f t="shared" si="2"/>
        <v>80</v>
      </c>
    </row>
    <row r="54" ht="12.0" customHeight="1">
      <c r="A54" s="22"/>
      <c r="B54" s="22"/>
      <c r="C54" s="27"/>
      <c r="D54" s="22" t="s">
        <v>3002</v>
      </c>
      <c r="E54" s="27">
        <v>0.0</v>
      </c>
      <c r="F54" s="27">
        <v>80.0</v>
      </c>
      <c r="G54" s="22">
        <v>1.0</v>
      </c>
      <c r="K54" s="49">
        <f t="shared" si="2"/>
        <v>80</v>
      </c>
    </row>
    <row r="55" ht="12.0" customHeight="1">
      <c r="A55" s="22"/>
      <c r="B55" s="22"/>
      <c r="C55" s="27"/>
      <c r="D55" s="22" t="s">
        <v>3004</v>
      </c>
      <c r="E55" s="27">
        <v>0.0</v>
      </c>
      <c r="F55" s="27">
        <v>140.0</v>
      </c>
      <c r="G55" s="22">
        <v>1.0</v>
      </c>
      <c r="K55" s="49">
        <f t="shared" si="2"/>
        <v>140</v>
      </c>
    </row>
    <row r="56" ht="12.0" customHeight="1">
      <c r="A56" s="22"/>
      <c r="B56" s="22"/>
      <c r="C56" s="27"/>
      <c r="D56" s="22" t="s">
        <v>3006</v>
      </c>
      <c r="E56" s="27">
        <v>0.0</v>
      </c>
      <c r="F56" s="27">
        <v>140.0</v>
      </c>
      <c r="G56" s="22">
        <v>1.0</v>
      </c>
      <c r="K56" s="49">
        <f t="shared" si="2"/>
        <v>140</v>
      </c>
    </row>
    <row r="57" ht="12.0" customHeight="1">
      <c r="A57" s="22"/>
      <c r="B57" s="22"/>
      <c r="C57" s="27"/>
      <c r="D57" s="22" t="s">
        <v>3007</v>
      </c>
      <c r="E57" s="27">
        <v>0.0</v>
      </c>
      <c r="F57" s="27">
        <v>140.0</v>
      </c>
      <c r="G57" s="22">
        <v>1.0</v>
      </c>
      <c r="K57" s="49">
        <f t="shared" si="2"/>
        <v>140</v>
      </c>
    </row>
    <row r="58" ht="12.0" customHeight="1">
      <c r="A58" s="22"/>
      <c r="B58" s="22"/>
      <c r="C58" s="27"/>
      <c r="D58" s="22" t="s">
        <v>3009</v>
      </c>
      <c r="E58" s="27">
        <v>0.0</v>
      </c>
      <c r="F58" s="27">
        <v>140.0</v>
      </c>
      <c r="G58" s="22">
        <v>1.0</v>
      </c>
      <c r="K58" s="49">
        <f t="shared" si="2"/>
        <v>140</v>
      </c>
    </row>
    <row r="59" ht="12.0" customHeight="1">
      <c r="A59" s="22"/>
      <c r="B59" s="22"/>
      <c r="C59" s="27"/>
      <c r="D59" s="22" t="s">
        <v>3011</v>
      </c>
      <c r="E59" s="27">
        <v>0.0</v>
      </c>
      <c r="F59" s="27">
        <v>160.0</v>
      </c>
      <c r="G59" s="22">
        <v>1.0</v>
      </c>
      <c r="K59" s="49">
        <f t="shared" si="2"/>
        <v>160</v>
      </c>
    </row>
    <row r="60" ht="12.0" customHeight="1">
      <c r="A60" s="22"/>
      <c r="B60" s="22"/>
      <c r="C60" s="27"/>
      <c r="D60" s="22" t="s">
        <v>3012</v>
      </c>
      <c r="E60" s="27">
        <v>0.0</v>
      </c>
      <c r="F60" s="27">
        <v>160.0</v>
      </c>
      <c r="G60" s="22">
        <v>1.0</v>
      </c>
      <c r="K60" s="49">
        <f t="shared" si="2"/>
        <v>160</v>
      </c>
    </row>
    <row r="61" ht="12.0" customHeight="1">
      <c r="A61" s="22"/>
      <c r="B61" s="22"/>
      <c r="C61" s="27"/>
      <c r="D61" s="22" t="s">
        <v>3014</v>
      </c>
      <c r="E61" s="27">
        <v>0.0</v>
      </c>
      <c r="F61" s="27">
        <v>120.0</v>
      </c>
      <c r="G61" s="22">
        <v>1.0</v>
      </c>
      <c r="K61" s="49">
        <f t="shared" si="2"/>
        <v>120</v>
      </c>
    </row>
    <row r="62" ht="12.0" customHeight="1">
      <c r="A62" s="22"/>
      <c r="B62" s="22"/>
      <c r="C62" s="27"/>
      <c r="D62" s="22" t="s">
        <v>3015</v>
      </c>
      <c r="E62" s="27">
        <v>0.0</v>
      </c>
      <c r="F62" s="27">
        <v>120.0</v>
      </c>
      <c r="G62" s="22">
        <v>1.0</v>
      </c>
      <c r="K62" s="49">
        <f t="shared" si="2"/>
        <v>120</v>
      </c>
    </row>
    <row r="63" ht="12.0" customHeight="1">
      <c r="A63" s="22"/>
      <c r="B63" s="22"/>
      <c r="C63" s="27"/>
      <c r="D63" s="22" t="s">
        <v>3017</v>
      </c>
      <c r="E63" s="27">
        <v>0.0</v>
      </c>
      <c r="F63" s="27">
        <v>160.0</v>
      </c>
      <c r="G63" s="22">
        <v>1.0</v>
      </c>
      <c r="K63" s="49">
        <f t="shared" si="2"/>
        <v>160</v>
      </c>
    </row>
    <row r="64" ht="12.0" customHeight="1">
      <c r="A64" s="22"/>
      <c r="B64" s="22"/>
      <c r="C64" s="27"/>
      <c r="D64" s="22" t="s">
        <v>3019</v>
      </c>
      <c r="E64" s="27">
        <v>0.0</v>
      </c>
      <c r="F64" s="27">
        <v>160.0</v>
      </c>
      <c r="G64" s="22">
        <v>1.0</v>
      </c>
      <c r="K64" s="49">
        <f t="shared" si="2"/>
        <v>160</v>
      </c>
    </row>
    <row r="65" ht="12.0" customHeight="1">
      <c r="A65" s="22"/>
      <c r="B65" s="22"/>
      <c r="C65" s="27"/>
      <c r="D65" s="22" t="s">
        <v>3020</v>
      </c>
      <c r="E65" s="27">
        <v>48.0</v>
      </c>
      <c r="F65" s="27">
        <v>40.0</v>
      </c>
      <c r="G65" s="22">
        <v>2.0</v>
      </c>
      <c r="K65" s="49">
        <f t="shared" si="2"/>
        <v>560</v>
      </c>
    </row>
    <row r="66" ht="12.0" customHeight="1">
      <c r="A66" s="22"/>
      <c r="B66" s="22"/>
      <c r="C66" s="27"/>
      <c r="D66" s="22" t="s">
        <v>3022</v>
      </c>
      <c r="E66" s="27">
        <v>24.0</v>
      </c>
      <c r="F66" s="27">
        <v>100.0</v>
      </c>
      <c r="G66" s="22">
        <v>2.0</v>
      </c>
      <c r="K66" s="49">
        <f t="shared" si="2"/>
        <v>440</v>
      </c>
    </row>
    <row r="67" ht="12.0" customHeight="1">
      <c r="A67" s="22"/>
      <c r="B67" s="22"/>
      <c r="C67" s="27"/>
      <c r="D67" s="22" t="s">
        <v>3023</v>
      </c>
      <c r="E67" s="27">
        <v>36.0</v>
      </c>
      <c r="F67" s="27">
        <v>100.0</v>
      </c>
      <c r="G67" s="22">
        <v>2.0</v>
      </c>
      <c r="K67" s="49">
        <f t="shared" si="2"/>
        <v>560</v>
      </c>
    </row>
    <row r="68" ht="12.0" customHeight="1">
      <c r="A68" s="22"/>
      <c r="B68" s="22"/>
      <c r="C68" s="27"/>
      <c r="D68" s="22" t="s">
        <v>3025</v>
      </c>
      <c r="E68" s="27">
        <v>24.0</v>
      </c>
      <c r="F68" s="27">
        <v>100.0</v>
      </c>
      <c r="G68" s="22">
        <v>2.0</v>
      </c>
      <c r="K68" s="49">
        <f t="shared" si="2"/>
        <v>440</v>
      </c>
    </row>
    <row r="69" ht="12.0" customHeight="1">
      <c r="A69" s="22"/>
      <c r="B69" s="22"/>
      <c r="C69" s="27"/>
      <c r="D69" s="22" t="s">
        <v>3026</v>
      </c>
      <c r="E69" s="27">
        <v>24.0</v>
      </c>
      <c r="F69" s="27">
        <v>100.0</v>
      </c>
      <c r="G69" s="22">
        <v>2.0</v>
      </c>
      <c r="K69" s="49">
        <f t="shared" si="2"/>
        <v>440</v>
      </c>
    </row>
    <row r="70" ht="12.0" customHeight="1">
      <c r="A70" s="22"/>
      <c r="B70" s="22"/>
      <c r="C70" s="27"/>
      <c r="D70" s="22" t="s">
        <v>3028</v>
      </c>
      <c r="E70" s="27">
        <v>24.0</v>
      </c>
      <c r="F70" s="27">
        <v>100.0</v>
      </c>
      <c r="G70" s="22">
        <v>2.0</v>
      </c>
      <c r="K70" s="49">
        <f t="shared" si="2"/>
        <v>440</v>
      </c>
    </row>
    <row r="71" ht="12.0" customHeight="1">
      <c r="A71" s="22"/>
      <c r="B71" s="22"/>
      <c r="C71" s="27"/>
      <c r="D71" s="22" t="s">
        <v>3029</v>
      </c>
      <c r="E71" s="27">
        <v>24.0</v>
      </c>
      <c r="F71" s="27">
        <v>100.0</v>
      </c>
      <c r="G71" s="22">
        <v>2.0</v>
      </c>
      <c r="K71" s="49">
        <f t="shared" si="2"/>
        <v>440</v>
      </c>
    </row>
    <row r="72" ht="12.0" customHeight="1">
      <c r="A72" s="22"/>
      <c r="B72" s="22"/>
      <c r="C72" s="27"/>
      <c r="D72" s="22" t="s">
        <v>3031</v>
      </c>
      <c r="E72" s="27">
        <v>24.0</v>
      </c>
      <c r="F72" s="27">
        <v>100.0</v>
      </c>
      <c r="G72" s="22">
        <v>2.0</v>
      </c>
      <c r="K72" s="49">
        <f t="shared" si="2"/>
        <v>440</v>
      </c>
    </row>
    <row r="73" ht="12.0" customHeight="1">
      <c r="A73" s="22"/>
      <c r="B73" s="22"/>
      <c r="C73" s="27"/>
      <c r="D73" s="22" t="s">
        <v>3032</v>
      </c>
      <c r="E73" s="27">
        <v>24.0</v>
      </c>
      <c r="F73" s="27">
        <v>140.0</v>
      </c>
      <c r="G73" s="22">
        <v>2.0</v>
      </c>
      <c r="K73" s="49">
        <f t="shared" si="2"/>
        <v>520</v>
      </c>
    </row>
    <row r="74" ht="12.0" customHeight="1">
      <c r="A74" s="22"/>
      <c r="B74" s="22"/>
      <c r="C74" s="27"/>
      <c r="D74" s="22" t="s">
        <v>3034</v>
      </c>
      <c r="E74" s="64">
        <v>24.0</v>
      </c>
      <c r="F74" s="64">
        <v>100.0</v>
      </c>
      <c r="G74" s="36">
        <v>2.0</v>
      </c>
      <c r="K74" s="49">
        <f t="shared" si="2"/>
        <v>440</v>
      </c>
    </row>
    <row r="75" ht="12.0" customHeight="1">
      <c r="A75" s="22"/>
      <c r="B75" s="22"/>
      <c r="C75" s="27"/>
      <c r="D75" s="22" t="s">
        <v>3037</v>
      </c>
      <c r="E75" s="64">
        <v>48.0</v>
      </c>
      <c r="F75" s="64">
        <v>140.0</v>
      </c>
      <c r="G75" s="22">
        <v>3.0</v>
      </c>
      <c r="K75" s="49">
        <f t="shared" si="2"/>
        <v>1140</v>
      </c>
    </row>
    <row r="76" ht="12.0" customHeight="1">
      <c r="A76" s="22"/>
      <c r="B76" s="22"/>
      <c r="C76" s="27"/>
      <c r="D76" s="22" t="s">
        <v>3039</v>
      </c>
      <c r="E76" s="64">
        <v>48.0</v>
      </c>
      <c r="F76" s="64">
        <v>140.0</v>
      </c>
      <c r="G76" s="22">
        <v>3.0</v>
      </c>
      <c r="K76" s="49">
        <f t="shared" si="2"/>
        <v>1140</v>
      </c>
    </row>
    <row r="77" ht="12.0" customHeight="1">
      <c r="A77" s="22"/>
      <c r="B77" s="22"/>
      <c r="C77" s="27"/>
      <c r="D77" s="22" t="s">
        <v>3041</v>
      </c>
      <c r="E77" s="64">
        <v>60.0</v>
      </c>
      <c r="F77" s="64">
        <v>140.0</v>
      </c>
      <c r="G77" s="22">
        <v>3.0</v>
      </c>
      <c r="K77" s="49">
        <f t="shared" si="2"/>
        <v>1320</v>
      </c>
    </row>
    <row r="78" ht="12.0" customHeight="1">
      <c r="A78" s="22"/>
      <c r="B78" s="22"/>
      <c r="C78" s="27"/>
      <c r="D78" s="22" t="s">
        <v>3042</v>
      </c>
      <c r="E78" s="64">
        <v>60.0</v>
      </c>
      <c r="F78" s="64">
        <v>140.0</v>
      </c>
      <c r="G78" s="22">
        <v>3.0</v>
      </c>
      <c r="K78" s="49">
        <f t="shared" si="2"/>
        <v>1320</v>
      </c>
    </row>
    <row r="79" ht="12.0" customHeight="1">
      <c r="A79" s="22"/>
      <c r="B79" s="22"/>
      <c r="C79" s="27"/>
      <c r="D79" s="22" t="s">
        <v>3044</v>
      </c>
      <c r="E79" s="47">
        <v>204.0</v>
      </c>
      <c r="F79" s="47">
        <v>140.0</v>
      </c>
      <c r="G79" s="22">
        <v>3.0</v>
      </c>
      <c r="K79" s="49">
        <f t="shared" si="2"/>
        <v>3480</v>
      </c>
    </row>
    <row r="80" ht="12.0" customHeight="1">
      <c r="A80" s="22"/>
      <c r="B80" s="22"/>
      <c r="C80" s="27"/>
      <c r="D80" s="22" t="s">
        <v>3045</v>
      </c>
      <c r="E80" s="47">
        <v>204.0</v>
      </c>
      <c r="F80" s="47">
        <v>140.0</v>
      </c>
      <c r="G80" s="22">
        <v>3.0</v>
      </c>
      <c r="K80" s="49">
        <f t="shared" si="2"/>
        <v>3480</v>
      </c>
    </row>
    <row r="81" ht="12.0" customHeight="1">
      <c r="A81" s="22"/>
      <c r="B81" s="22"/>
      <c r="C81" s="27"/>
      <c r="D81" s="22" t="s">
        <v>3047</v>
      </c>
      <c r="E81" s="47">
        <v>204.0</v>
      </c>
      <c r="F81" s="47">
        <v>140.0</v>
      </c>
      <c r="G81" s="22">
        <v>3.0</v>
      </c>
      <c r="K81" s="49">
        <f t="shared" si="2"/>
        <v>3480</v>
      </c>
    </row>
    <row r="82" ht="12.0" customHeight="1">
      <c r="A82" s="22"/>
      <c r="B82" s="22"/>
      <c r="C82" s="27"/>
      <c r="D82" s="22" t="s">
        <v>3048</v>
      </c>
      <c r="E82" s="47">
        <v>60.0</v>
      </c>
      <c r="F82" s="47">
        <v>140.0</v>
      </c>
      <c r="G82" s="22">
        <v>3.0</v>
      </c>
      <c r="K82" s="49">
        <f t="shared" si="2"/>
        <v>1320</v>
      </c>
    </row>
    <row r="83" ht="12.0" customHeight="1">
      <c r="A83" s="22"/>
      <c r="B83" s="22"/>
      <c r="C83" s="27"/>
      <c r="D83" s="22" t="s">
        <v>3050</v>
      </c>
      <c r="E83" s="64">
        <v>48.0</v>
      </c>
      <c r="F83" s="64">
        <v>120.0</v>
      </c>
      <c r="G83" s="22">
        <v>3.0</v>
      </c>
      <c r="K83" s="49">
        <f t="shared" si="2"/>
        <v>1080</v>
      </c>
    </row>
    <row r="84" ht="12.0" customHeight="1">
      <c r="A84" s="22"/>
      <c r="B84" s="22"/>
      <c r="C84" s="27"/>
      <c r="D84" s="22" t="s">
        <v>3051</v>
      </c>
      <c r="E84" s="64">
        <v>64.0</v>
      </c>
      <c r="F84" s="64">
        <v>120.0</v>
      </c>
      <c r="G84" s="22">
        <v>3.0</v>
      </c>
      <c r="K84" s="49">
        <f t="shared" si="2"/>
        <v>1320</v>
      </c>
    </row>
    <row r="85" ht="12.0" customHeight="1">
      <c r="A85" s="22"/>
      <c r="B85" s="22"/>
      <c r="C85" s="27"/>
      <c r="D85" s="22" t="s">
        <v>3053</v>
      </c>
      <c r="E85" s="64">
        <v>204.0</v>
      </c>
      <c r="F85" s="64">
        <v>120.0</v>
      </c>
      <c r="G85" s="22">
        <v>3.0</v>
      </c>
      <c r="K85" s="49">
        <f t="shared" si="2"/>
        <v>3420</v>
      </c>
      <c r="R85" s="27"/>
      <c r="T85" s="27"/>
      <c r="U85" s="27"/>
    </row>
    <row r="86" ht="12.0" customHeight="1">
      <c r="A86" s="22"/>
      <c r="B86" s="22"/>
      <c r="C86" s="27"/>
      <c r="D86" s="22" t="s">
        <v>3054</v>
      </c>
      <c r="E86" s="64">
        <v>204.0</v>
      </c>
      <c r="F86" s="64">
        <v>120.0</v>
      </c>
      <c r="G86" s="22">
        <v>3.0</v>
      </c>
      <c r="K86" s="49">
        <f t="shared" si="2"/>
        <v>3420</v>
      </c>
      <c r="R86" s="27"/>
      <c r="S86" s="27"/>
      <c r="T86" s="27"/>
      <c r="U86" s="27"/>
    </row>
    <row r="87" ht="12.0" customHeight="1">
      <c r="A87" s="22"/>
      <c r="B87" s="22"/>
      <c r="C87" s="27"/>
      <c r="D87" s="22" t="s">
        <v>3056</v>
      </c>
      <c r="E87" s="27">
        <v>48.0</v>
      </c>
      <c r="F87" s="27">
        <v>140.0</v>
      </c>
      <c r="G87" s="22">
        <v>3.0</v>
      </c>
      <c r="K87" s="49">
        <f t="shared" si="2"/>
        <v>1140</v>
      </c>
      <c r="R87" s="27"/>
      <c r="S87" s="27"/>
      <c r="T87" s="27"/>
      <c r="U87" s="27"/>
    </row>
    <row r="88" ht="12.0" customHeight="1">
      <c r="A88" s="22"/>
      <c r="B88" s="22"/>
      <c r="C88" s="27"/>
      <c r="D88" s="22" t="s">
        <v>3058</v>
      </c>
      <c r="E88" s="27">
        <v>88.0</v>
      </c>
      <c r="F88" s="27">
        <v>100.0</v>
      </c>
      <c r="G88" s="22">
        <v>3.0</v>
      </c>
      <c r="K88" s="49">
        <f t="shared" si="2"/>
        <v>1620</v>
      </c>
      <c r="R88" s="27"/>
      <c r="S88" s="27"/>
      <c r="T88" s="27"/>
      <c r="U88" s="27"/>
    </row>
    <row r="89" ht="12.0" customHeight="1">
      <c r="A89" s="22"/>
      <c r="B89" s="22"/>
      <c r="C89" s="27"/>
      <c r="D89" s="22" t="s">
        <v>3059</v>
      </c>
      <c r="E89" s="27">
        <v>88.0</v>
      </c>
      <c r="F89" s="27">
        <v>100.0</v>
      </c>
      <c r="G89" s="22">
        <v>3.0</v>
      </c>
      <c r="K89" s="49">
        <f t="shared" si="2"/>
        <v>1620</v>
      </c>
      <c r="R89" s="27"/>
      <c r="S89" s="27"/>
      <c r="T89" s="27"/>
      <c r="U89" s="27"/>
    </row>
    <row r="90" ht="12.0" customHeight="1">
      <c r="A90" s="22"/>
      <c r="B90" s="22"/>
      <c r="C90" s="27"/>
      <c r="D90" s="22" t="s">
        <v>3061</v>
      </c>
      <c r="E90" s="27">
        <v>88.0</v>
      </c>
      <c r="F90" s="27">
        <v>100.0</v>
      </c>
      <c r="G90" s="22">
        <v>3.0</v>
      </c>
      <c r="K90" s="49">
        <f t="shared" si="2"/>
        <v>1620</v>
      </c>
      <c r="R90" s="27"/>
      <c r="S90" s="27"/>
      <c r="T90" s="27"/>
      <c r="U90" s="27"/>
    </row>
    <row r="91" ht="12.0" customHeight="1">
      <c r="A91" s="22"/>
      <c r="B91" s="22"/>
      <c r="C91" s="27"/>
      <c r="D91" s="27"/>
      <c r="E91" s="27"/>
      <c r="F91" s="27"/>
      <c r="K91" s="49"/>
      <c r="R91" s="27"/>
      <c r="S91" s="27"/>
      <c r="T91" s="27"/>
      <c r="U91" s="27"/>
    </row>
    <row r="92" ht="12.75" customHeight="1">
      <c r="A92" s="56" t="s">
        <v>338</v>
      </c>
      <c r="B92" s="56"/>
      <c r="C92" s="56"/>
      <c r="D92" s="27"/>
      <c r="E92" s="27"/>
      <c r="F92" s="27"/>
      <c r="I92" s="57"/>
      <c r="J92" s="57" t="s">
        <v>2926</v>
      </c>
      <c r="K92" s="49"/>
      <c r="R92" s="27"/>
      <c r="S92" s="27"/>
      <c r="T92" s="27"/>
      <c r="U92" s="27"/>
    </row>
    <row r="93" ht="12.75" customHeight="1">
      <c r="A93" s="56"/>
      <c r="B93" s="56"/>
      <c r="C93" s="57" t="s">
        <v>2927</v>
      </c>
      <c r="D93" s="57" t="s">
        <v>2928</v>
      </c>
      <c r="E93" s="57"/>
      <c r="F93" s="57" t="s">
        <v>3062</v>
      </c>
      <c r="G93" s="57" t="s">
        <v>12</v>
      </c>
      <c r="I93" s="57"/>
      <c r="J93" s="58">
        <v>10.0</v>
      </c>
      <c r="K93" s="66" t="s">
        <v>22</v>
      </c>
      <c r="R93" s="27"/>
      <c r="S93" s="27"/>
      <c r="T93" s="27"/>
      <c r="U93" s="27"/>
    </row>
    <row r="94" ht="12.0" customHeight="1">
      <c r="A94" s="56"/>
      <c r="B94" s="56"/>
      <c r="C94" s="56"/>
      <c r="D94" s="22" t="s">
        <v>3065</v>
      </c>
      <c r="E94" s="27"/>
      <c r="F94" s="27">
        <v>2.0</v>
      </c>
      <c r="G94" s="22">
        <v>1.0</v>
      </c>
      <c r="I94" s="57"/>
      <c r="K94" s="49">
        <f t="shared" ref="K94:K155" si="3">F94*G94*$J$93</f>
        <v>20</v>
      </c>
      <c r="R94" s="27"/>
      <c r="S94" s="27"/>
      <c r="T94" s="27"/>
      <c r="U94" s="27"/>
    </row>
    <row r="95" ht="12.0" customHeight="1">
      <c r="A95" s="56"/>
      <c r="B95" s="56"/>
      <c r="C95" s="56"/>
      <c r="D95" s="22" t="s">
        <v>3069</v>
      </c>
      <c r="E95" s="27"/>
      <c r="F95" s="27">
        <v>2.0</v>
      </c>
      <c r="G95" s="22">
        <v>1.0</v>
      </c>
      <c r="I95" s="57"/>
      <c r="K95" s="49">
        <f t="shared" si="3"/>
        <v>20</v>
      </c>
      <c r="R95" s="27"/>
      <c r="S95" s="27"/>
      <c r="T95" s="27"/>
      <c r="U95" s="27"/>
      <c r="V95" s="22"/>
    </row>
    <row r="96" ht="12.0" customHeight="1">
      <c r="A96" s="56"/>
      <c r="B96" s="56"/>
      <c r="C96" s="56"/>
      <c r="D96" s="22" t="s">
        <v>3071</v>
      </c>
      <c r="E96" s="27"/>
      <c r="F96" s="27">
        <v>2.0</v>
      </c>
      <c r="G96" s="22">
        <v>1.0</v>
      </c>
      <c r="I96" s="57"/>
      <c r="K96" s="49">
        <f t="shared" si="3"/>
        <v>20</v>
      </c>
      <c r="R96" s="27"/>
      <c r="S96" s="27"/>
      <c r="T96" s="27"/>
      <c r="U96" s="27"/>
      <c r="V96" s="22"/>
    </row>
    <row r="97" ht="12.0" customHeight="1">
      <c r="A97" s="56"/>
      <c r="B97" s="56"/>
      <c r="C97" s="56"/>
      <c r="D97" s="22" t="s">
        <v>3073</v>
      </c>
      <c r="E97" s="27"/>
      <c r="F97" s="27">
        <v>2.0</v>
      </c>
      <c r="G97" s="22">
        <v>1.0</v>
      </c>
      <c r="I97" s="57"/>
      <c r="K97" s="49">
        <f t="shared" si="3"/>
        <v>20</v>
      </c>
      <c r="R97" s="27"/>
      <c r="S97" s="27"/>
      <c r="T97" s="27"/>
      <c r="U97" s="27"/>
      <c r="V97" s="22"/>
    </row>
    <row r="98" ht="12.0" customHeight="1">
      <c r="A98" s="56"/>
      <c r="B98" s="56"/>
      <c r="C98" s="56"/>
      <c r="D98" s="22" t="s">
        <v>3074</v>
      </c>
      <c r="E98" s="27"/>
      <c r="F98" s="27">
        <v>2.0</v>
      </c>
      <c r="G98" s="22">
        <v>1.0</v>
      </c>
      <c r="I98" s="57"/>
      <c r="K98" s="49">
        <f t="shared" si="3"/>
        <v>20</v>
      </c>
      <c r="R98" s="27"/>
      <c r="S98" s="27"/>
      <c r="T98" s="27"/>
      <c r="U98" s="27"/>
      <c r="V98" s="22"/>
    </row>
    <row r="99" ht="12.0" customHeight="1">
      <c r="A99" s="56"/>
      <c r="B99" s="56"/>
      <c r="C99" s="56"/>
      <c r="D99" s="22" t="s">
        <v>3076</v>
      </c>
      <c r="E99" s="27"/>
      <c r="F99" s="27">
        <v>2.0</v>
      </c>
      <c r="G99" s="22">
        <v>1.0</v>
      </c>
      <c r="I99" s="57"/>
      <c r="K99" s="49">
        <f t="shared" si="3"/>
        <v>20</v>
      </c>
      <c r="R99" s="27"/>
      <c r="S99" s="27"/>
      <c r="T99" s="27"/>
      <c r="U99" s="27"/>
      <c r="V99" s="22"/>
    </row>
    <row r="100" ht="12.0" customHeight="1">
      <c r="A100" s="56"/>
      <c r="B100" s="56"/>
      <c r="C100" s="56"/>
      <c r="D100" s="22" t="s">
        <v>3078</v>
      </c>
      <c r="E100" s="27"/>
      <c r="F100" s="27">
        <v>2.0</v>
      </c>
      <c r="G100" s="22">
        <v>1.0</v>
      </c>
      <c r="I100" s="57"/>
      <c r="K100" s="49">
        <f t="shared" si="3"/>
        <v>20</v>
      </c>
      <c r="R100" s="27"/>
      <c r="S100" s="27"/>
      <c r="T100" s="27"/>
      <c r="U100" s="27"/>
      <c r="V100" s="22"/>
    </row>
    <row r="101" ht="12.0" customHeight="1">
      <c r="A101" s="56"/>
      <c r="B101" s="56"/>
      <c r="C101" s="56"/>
      <c r="D101" s="22" t="s">
        <v>3079</v>
      </c>
      <c r="E101" s="27"/>
      <c r="F101" s="27">
        <v>2.0</v>
      </c>
      <c r="G101" s="22">
        <v>1.0</v>
      </c>
      <c r="I101" s="57"/>
      <c r="K101" s="49">
        <f t="shared" si="3"/>
        <v>20</v>
      </c>
      <c r="R101" s="27"/>
      <c r="S101" s="27"/>
      <c r="T101" s="27"/>
      <c r="U101" s="27"/>
      <c r="V101" s="22"/>
    </row>
    <row r="102" ht="12.0" customHeight="1">
      <c r="A102" s="56"/>
      <c r="B102" s="56"/>
      <c r="C102" s="56"/>
      <c r="D102" s="22" t="s">
        <v>3081</v>
      </c>
      <c r="E102" s="27"/>
      <c r="F102" s="27">
        <v>2.0</v>
      </c>
      <c r="G102" s="22">
        <v>1.0</v>
      </c>
      <c r="I102" s="57"/>
      <c r="K102" s="49">
        <f t="shared" si="3"/>
        <v>20</v>
      </c>
      <c r="R102" s="27"/>
      <c r="S102" s="27"/>
      <c r="T102" s="27"/>
      <c r="U102" s="27"/>
      <c r="V102" s="22"/>
    </row>
    <row r="103" ht="12.0" customHeight="1">
      <c r="A103" s="56"/>
      <c r="B103" s="56"/>
      <c r="C103" s="56"/>
      <c r="D103" s="22" t="s">
        <v>3082</v>
      </c>
      <c r="E103" s="27"/>
      <c r="F103" s="27">
        <v>2.0</v>
      </c>
      <c r="G103" s="22">
        <v>1.0</v>
      </c>
      <c r="I103" s="57"/>
      <c r="K103" s="49">
        <f t="shared" si="3"/>
        <v>20</v>
      </c>
      <c r="R103" s="27"/>
      <c r="S103" s="27"/>
      <c r="T103" s="27"/>
      <c r="U103" s="27"/>
      <c r="V103" s="22"/>
    </row>
    <row r="104" ht="12.0" customHeight="1">
      <c r="A104" s="56"/>
      <c r="B104" s="56"/>
      <c r="C104" s="56"/>
      <c r="D104" s="22" t="s">
        <v>3083</v>
      </c>
      <c r="E104" s="27"/>
      <c r="F104" s="27">
        <v>2.0</v>
      </c>
      <c r="G104" s="22">
        <v>1.0</v>
      </c>
      <c r="I104" s="57"/>
      <c r="K104" s="49">
        <f t="shared" si="3"/>
        <v>20</v>
      </c>
      <c r="S104" s="27"/>
    </row>
    <row r="105" ht="12.0" customHeight="1">
      <c r="A105" s="56"/>
      <c r="B105" s="56"/>
      <c r="C105" s="56"/>
      <c r="D105" s="22" t="s">
        <v>3085</v>
      </c>
      <c r="E105" s="27"/>
      <c r="F105" s="27">
        <v>2.0</v>
      </c>
      <c r="G105" s="22">
        <v>1.0</v>
      </c>
      <c r="I105" s="57"/>
      <c r="K105" s="49">
        <f t="shared" si="3"/>
        <v>20</v>
      </c>
    </row>
    <row r="106" ht="12.0" customHeight="1">
      <c r="A106" s="56"/>
      <c r="B106" s="56"/>
      <c r="C106" s="56"/>
      <c r="D106" s="22" t="s">
        <v>3086</v>
      </c>
      <c r="E106" s="27"/>
      <c r="F106" s="27">
        <v>3.0</v>
      </c>
      <c r="G106" s="22">
        <v>1.0</v>
      </c>
      <c r="I106" s="57"/>
      <c r="K106" s="49">
        <f t="shared" si="3"/>
        <v>30</v>
      </c>
    </row>
    <row r="107" ht="12.0" customHeight="1">
      <c r="A107" s="56"/>
      <c r="B107" s="56"/>
      <c r="C107" s="56"/>
      <c r="D107" s="22" t="s">
        <v>3088</v>
      </c>
      <c r="E107" s="27"/>
      <c r="F107" s="27">
        <v>3.0</v>
      </c>
      <c r="G107" s="22">
        <v>1.0</v>
      </c>
      <c r="I107" s="57"/>
      <c r="K107" s="49">
        <f t="shared" si="3"/>
        <v>30</v>
      </c>
    </row>
    <row r="108" ht="12.0" customHeight="1">
      <c r="A108" s="56"/>
      <c r="B108" s="56"/>
      <c r="C108" s="56"/>
      <c r="D108" s="22" t="s">
        <v>3089</v>
      </c>
      <c r="E108" s="27"/>
      <c r="F108" s="27">
        <v>3.0</v>
      </c>
      <c r="G108" s="22">
        <v>1.0</v>
      </c>
      <c r="I108" s="57"/>
      <c r="K108" s="49">
        <f t="shared" si="3"/>
        <v>30</v>
      </c>
    </row>
    <row r="109" ht="12.0" customHeight="1">
      <c r="A109" s="56"/>
      <c r="B109" s="56"/>
      <c r="C109" s="56"/>
      <c r="D109" s="22" t="s">
        <v>3090</v>
      </c>
      <c r="E109" s="27"/>
      <c r="F109" s="27">
        <v>3.0</v>
      </c>
      <c r="G109" s="22">
        <v>1.0</v>
      </c>
      <c r="I109" s="57"/>
      <c r="K109" s="49">
        <f t="shared" si="3"/>
        <v>30</v>
      </c>
    </row>
    <row r="110" ht="12.0" customHeight="1">
      <c r="A110" s="56"/>
      <c r="B110" s="56"/>
      <c r="C110" s="56"/>
      <c r="D110" s="22" t="s">
        <v>3091</v>
      </c>
      <c r="E110" s="27"/>
      <c r="F110" s="27">
        <v>3.0</v>
      </c>
      <c r="G110" s="22">
        <v>1.0</v>
      </c>
      <c r="I110" s="57"/>
      <c r="K110" s="49">
        <f t="shared" si="3"/>
        <v>30</v>
      </c>
    </row>
    <row r="111" ht="12.0" customHeight="1">
      <c r="A111" s="56"/>
      <c r="B111" s="56"/>
      <c r="C111" s="56"/>
      <c r="D111" s="22" t="s">
        <v>3093</v>
      </c>
      <c r="E111" s="27"/>
      <c r="F111" s="27">
        <v>3.0</v>
      </c>
      <c r="G111" s="22">
        <v>1.0</v>
      </c>
      <c r="I111" s="57"/>
      <c r="K111" s="49">
        <f t="shared" si="3"/>
        <v>30</v>
      </c>
    </row>
    <row r="112" ht="12.0" customHeight="1">
      <c r="A112" s="56"/>
      <c r="B112" s="56"/>
      <c r="C112" s="56"/>
      <c r="D112" s="22" t="s">
        <v>3094</v>
      </c>
      <c r="E112" s="27"/>
      <c r="F112" s="27">
        <v>3.0</v>
      </c>
      <c r="G112" s="22">
        <v>1.0</v>
      </c>
      <c r="I112" s="57"/>
      <c r="K112" s="49">
        <f t="shared" si="3"/>
        <v>30</v>
      </c>
    </row>
    <row r="113" ht="12.0" customHeight="1">
      <c r="A113" s="56"/>
      <c r="B113" s="56"/>
      <c r="C113" s="56"/>
      <c r="D113" s="22" t="s">
        <v>3095</v>
      </c>
      <c r="E113" s="27"/>
      <c r="F113" s="27">
        <v>3.0</v>
      </c>
      <c r="G113" s="22">
        <v>1.0</v>
      </c>
      <c r="I113" s="57"/>
      <c r="K113" s="49">
        <f t="shared" si="3"/>
        <v>30</v>
      </c>
    </row>
    <row r="114" ht="12.0" customHeight="1">
      <c r="A114" s="56"/>
      <c r="B114" s="56"/>
      <c r="C114" s="56"/>
      <c r="D114" s="22" t="s">
        <v>3097</v>
      </c>
      <c r="E114" s="27"/>
      <c r="F114" s="27">
        <v>3.0</v>
      </c>
      <c r="G114" s="22">
        <v>1.0</v>
      </c>
      <c r="I114" s="57"/>
      <c r="K114" s="49">
        <f t="shared" si="3"/>
        <v>30</v>
      </c>
    </row>
    <row r="115" ht="12.0" customHeight="1">
      <c r="A115" s="56"/>
      <c r="B115" s="56"/>
      <c r="C115" s="56"/>
      <c r="D115" s="22" t="s">
        <v>3098</v>
      </c>
      <c r="E115" s="27"/>
      <c r="F115" s="27">
        <v>3.0</v>
      </c>
      <c r="G115" s="22">
        <v>1.0</v>
      </c>
      <c r="I115" s="57"/>
      <c r="K115" s="49">
        <f t="shared" si="3"/>
        <v>30</v>
      </c>
    </row>
    <row r="116" ht="12.0" customHeight="1">
      <c r="A116" s="56"/>
      <c r="B116" s="56"/>
      <c r="C116" s="56"/>
      <c r="D116" s="22" t="s">
        <v>3099</v>
      </c>
      <c r="E116" s="27"/>
      <c r="F116" s="27">
        <v>1.0</v>
      </c>
      <c r="G116" s="22">
        <v>1.0</v>
      </c>
      <c r="I116" s="57"/>
      <c r="K116" s="49">
        <f t="shared" si="3"/>
        <v>10</v>
      </c>
    </row>
    <row r="117" ht="12.0" customHeight="1">
      <c r="A117" s="56"/>
      <c r="B117" s="56"/>
      <c r="C117" s="56"/>
      <c r="D117" s="22" t="s">
        <v>3101</v>
      </c>
      <c r="E117" s="27"/>
      <c r="F117" s="27">
        <v>1.0</v>
      </c>
      <c r="G117" s="22">
        <v>1.0</v>
      </c>
      <c r="I117" s="57"/>
      <c r="K117" s="49">
        <f t="shared" si="3"/>
        <v>10</v>
      </c>
    </row>
    <row r="118" ht="12.0" customHeight="1">
      <c r="A118" s="56"/>
      <c r="B118" s="56"/>
      <c r="C118" s="56"/>
      <c r="D118" s="22" t="s">
        <v>3102</v>
      </c>
      <c r="E118" s="27"/>
      <c r="F118" s="27">
        <v>1.0</v>
      </c>
      <c r="G118" s="22">
        <v>1.0</v>
      </c>
      <c r="I118" s="57"/>
      <c r="K118" s="49">
        <f t="shared" si="3"/>
        <v>10</v>
      </c>
    </row>
    <row r="119" ht="12.0" customHeight="1">
      <c r="A119" s="56"/>
      <c r="B119" s="56"/>
      <c r="C119" s="56"/>
      <c r="D119" s="22" t="s">
        <v>3104</v>
      </c>
      <c r="E119" s="27"/>
      <c r="F119" s="27">
        <v>1.0</v>
      </c>
      <c r="G119" s="22">
        <v>1.0</v>
      </c>
      <c r="I119" s="57"/>
      <c r="K119" s="49">
        <f t="shared" si="3"/>
        <v>10</v>
      </c>
    </row>
    <row r="120" ht="12.0" customHeight="1">
      <c r="A120" s="56"/>
      <c r="B120" s="56"/>
      <c r="C120" s="56"/>
      <c r="D120" s="22" t="s">
        <v>3105</v>
      </c>
      <c r="E120" s="27"/>
      <c r="F120" s="27">
        <v>1.0</v>
      </c>
      <c r="G120" s="22">
        <v>1.0</v>
      </c>
      <c r="I120" s="57"/>
      <c r="K120" s="49">
        <f t="shared" si="3"/>
        <v>10</v>
      </c>
    </row>
    <row r="121" ht="12.0" customHeight="1">
      <c r="A121" s="56"/>
      <c r="B121" s="56"/>
      <c r="C121" s="56"/>
      <c r="D121" s="22" t="s">
        <v>3107</v>
      </c>
      <c r="E121" s="27"/>
      <c r="F121" s="27">
        <v>1.0</v>
      </c>
      <c r="G121" s="22">
        <v>1.0</v>
      </c>
      <c r="I121" s="57"/>
      <c r="K121" s="49">
        <f t="shared" si="3"/>
        <v>10</v>
      </c>
    </row>
    <row r="122" ht="12.0" customHeight="1">
      <c r="A122" s="56"/>
      <c r="B122" s="56"/>
      <c r="C122" s="56"/>
      <c r="D122" s="22" t="s">
        <v>3108</v>
      </c>
      <c r="E122" s="27"/>
      <c r="F122" s="27">
        <v>1.0</v>
      </c>
      <c r="G122" s="22">
        <v>1.0</v>
      </c>
      <c r="I122" s="57"/>
      <c r="K122" s="49">
        <f t="shared" si="3"/>
        <v>10</v>
      </c>
    </row>
    <row r="123" ht="12.0" customHeight="1">
      <c r="A123" s="56"/>
      <c r="B123" s="56"/>
      <c r="C123" s="56"/>
      <c r="D123" s="22" t="s">
        <v>3110</v>
      </c>
      <c r="E123" s="27"/>
      <c r="F123" s="27">
        <v>1.0</v>
      </c>
      <c r="G123" s="22">
        <v>1.0</v>
      </c>
      <c r="I123" s="57"/>
      <c r="K123" s="49">
        <f t="shared" si="3"/>
        <v>10</v>
      </c>
    </row>
    <row r="124" ht="12.0" customHeight="1">
      <c r="A124" s="56"/>
      <c r="B124" s="56"/>
      <c r="C124" s="56"/>
      <c r="D124" s="22" t="s">
        <v>3112</v>
      </c>
      <c r="E124" s="27"/>
      <c r="F124" s="27">
        <v>3.0</v>
      </c>
      <c r="G124" s="22">
        <v>1.0</v>
      </c>
      <c r="I124" s="57"/>
      <c r="K124" s="49">
        <f t="shared" si="3"/>
        <v>30</v>
      </c>
    </row>
    <row r="125" ht="12.0" customHeight="1">
      <c r="A125" s="56"/>
      <c r="B125" s="56"/>
      <c r="C125" s="56"/>
      <c r="D125" s="22" t="s">
        <v>3114</v>
      </c>
      <c r="E125" s="27"/>
      <c r="F125" s="27">
        <v>3.0</v>
      </c>
      <c r="G125" s="22">
        <v>1.0</v>
      </c>
      <c r="I125" s="57"/>
      <c r="K125" s="49">
        <f t="shared" si="3"/>
        <v>30</v>
      </c>
    </row>
    <row r="126" ht="12.0" customHeight="1">
      <c r="A126" s="56"/>
      <c r="B126" s="56"/>
      <c r="C126" s="56"/>
      <c r="D126" s="22" t="s">
        <v>3116</v>
      </c>
      <c r="E126" s="27"/>
      <c r="F126" s="27">
        <v>3.0</v>
      </c>
      <c r="G126" s="22">
        <v>1.0</v>
      </c>
      <c r="I126" s="57"/>
      <c r="K126" s="49">
        <f t="shared" si="3"/>
        <v>30</v>
      </c>
    </row>
    <row r="127" ht="12.0" customHeight="1">
      <c r="A127" s="56"/>
      <c r="B127" s="56"/>
      <c r="C127" s="56"/>
      <c r="D127" s="22" t="s">
        <v>3118</v>
      </c>
      <c r="E127" s="27"/>
      <c r="F127" s="27">
        <v>3.0</v>
      </c>
      <c r="G127" s="22">
        <v>1.0</v>
      </c>
      <c r="I127" s="57"/>
      <c r="K127" s="49">
        <f t="shared" si="3"/>
        <v>30</v>
      </c>
    </row>
    <row r="128" ht="12.0" customHeight="1">
      <c r="A128" s="56"/>
      <c r="B128" s="56"/>
      <c r="C128" s="56"/>
      <c r="D128" s="22" t="s">
        <v>3120</v>
      </c>
      <c r="E128" s="27"/>
      <c r="F128" s="27">
        <v>3.0</v>
      </c>
      <c r="G128" s="22">
        <v>1.0</v>
      </c>
      <c r="I128" s="57"/>
      <c r="K128" s="49">
        <f t="shared" si="3"/>
        <v>30</v>
      </c>
    </row>
    <row r="129" ht="12.0" customHeight="1">
      <c r="A129" s="56"/>
      <c r="B129" s="56"/>
      <c r="C129" s="56"/>
      <c r="D129" s="22" t="s">
        <v>3122</v>
      </c>
      <c r="E129" s="27"/>
      <c r="F129" s="27">
        <v>3.0</v>
      </c>
      <c r="G129" s="22">
        <v>1.0</v>
      </c>
      <c r="I129" s="57"/>
      <c r="K129" s="49">
        <f t="shared" si="3"/>
        <v>30</v>
      </c>
    </row>
    <row r="130" ht="12.0" customHeight="1">
      <c r="A130" s="56"/>
      <c r="B130" s="56"/>
      <c r="C130" s="56"/>
      <c r="D130" s="22" t="s">
        <v>3124</v>
      </c>
      <c r="E130" s="27"/>
      <c r="F130" s="27">
        <v>3.0</v>
      </c>
      <c r="G130" s="22">
        <v>1.0</v>
      </c>
      <c r="I130" s="57"/>
      <c r="K130" s="49">
        <f t="shared" si="3"/>
        <v>30</v>
      </c>
    </row>
    <row r="131" ht="12.0" customHeight="1">
      <c r="A131" s="56"/>
      <c r="B131" s="56"/>
      <c r="C131" s="56"/>
      <c r="D131" s="22" t="s">
        <v>3125</v>
      </c>
      <c r="E131" s="27"/>
      <c r="F131" s="27">
        <v>3.0</v>
      </c>
      <c r="G131" s="22">
        <v>1.0</v>
      </c>
      <c r="I131" s="57"/>
      <c r="K131" s="49">
        <f t="shared" si="3"/>
        <v>30</v>
      </c>
    </row>
    <row r="132" ht="12.0" customHeight="1">
      <c r="A132" s="56"/>
      <c r="B132" s="56"/>
      <c r="C132" s="56"/>
      <c r="D132" s="22" t="s">
        <v>3127</v>
      </c>
      <c r="E132" s="27"/>
      <c r="F132" s="27">
        <v>2.0</v>
      </c>
      <c r="G132" s="22">
        <v>1.0</v>
      </c>
      <c r="I132" s="57"/>
      <c r="K132" s="49">
        <f t="shared" si="3"/>
        <v>20</v>
      </c>
    </row>
    <row r="133" ht="12.0" customHeight="1">
      <c r="A133" s="56"/>
      <c r="B133" s="56"/>
      <c r="C133" s="56"/>
      <c r="D133" s="22" t="s">
        <v>3128</v>
      </c>
      <c r="E133" s="27"/>
      <c r="F133" s="27">
        <v>2.0</v>
      </c>
      <c r="G133" s="22">
        <v>1.0</v>
      </c>
      <c r="I133" s="57"/>
      <c r="K133" s="49">
        <f t="shared" si="3"/>
        <v>20</v>
      </c>
    </row>
    <row r="134" ht="12.0" customHeight="1">
      <c r="A134" s="56"/>
      <c r="B134" s="56"/>
      <c r="C134" s="56"/>
      <c r="D134" s="22" t="s">
        <v>3130</v>
      </c>
      <c r="E134" s="27"/>
      <c r="F134" s="27">
        <v>2.0</v>
      </c>
      <c r="G134" s="22">
        <v>1.0</v>
      </c>
      <c r="I134" s="57"/>
      <c r="K134" s="49">
        <f t="shared" si="3"/>
        <v>20</v>
      </c>
    </row>
    <row r="135" ht="12.0" customHeight="1">
      <c r="A135" s="56"/>
      <c r="B135" s="56"/>
      <c r="C135" s="56"/>
      <c r="D135" s="22" t="s">
        <v>3131</v>
      </c>
      <c r="E135" s="27"/>
      <c r="F135" s="27">
        <v>2.0</v>
      </c>
      <c r="G135" s="22">
        <v>1.0</v>
      </c>
      <c r="I135" s="57"/>
      <c r="K135" s="49">
        <f t="shared" si="3"/>
        <v>20</v>
      </c>
    </row>
    <row r="136" ht="12.0" customHeight="1">
      <c r="A136" s="56"/>
      <c r="B136" s="56"/>
      <c r="C136" s="56"/>
      <c r="D136" s="22" t="s">
        <v>3132</v>
      </c>
      <c r="E136" s="27"/>
      <c r="F136" s="27">
        <v>2.0</v>
      </c>
      <c r="G136" s="22">
        <v>1.0</v>
      </c>
      <c r="I136" s="57"/>
      <c r="K136" s="49">
        <f t="shared" si="3"/>
        <v>20</v>
      </c>
    </row>
    <row r="137" ht="12.0" customHeight="1">
      <c r="A137" s="56"/>
      <c r="B137" s="56"/>
      <c r="C137" s="56"/>
      <c r="D137" s="22" t="s">
        <v>3134</v>
      </c>
      <c r="E137" s="27"/>
      <c r="F137" s="27">
        <v>2.0</v>
      </c>
      <c r="G137" s="22">
        <v>1.0</v>
      </c>
      <c r="I137" s="57"/>
      <c r="K137" s="49">
        <f t="shared" si="3"/>
        <v>20</v>
      </c>
    </row>
    <row r="138" ht="12.0" customHeight="1">
      <c r="A138" s="56"/>
      <c r="B138" s="56"/>
      <c r="C138" s="56"/>
      <c r="D138" s="22" t="s">
        <v>3135</v>
      </c>
      <c r="E138" s="27"/>
      <c r="F138" s="27">
        <v>2.0</v>
      </c>
      <c r="G138" s="22">
        <v>1.0</v>
      </c>
      <c r="I138" s="57"/>
      <c r="K138" s="49">
        <f t="shared" si="3"/>
        <v>20</v>
      </c>
    </row>
    <row r="139" ht="12.0" customHeight="1">
      <c r="A139" s="56"/>
      <c r="B139" s="56"/>
      <c r="C139" s="56"/>
      <c r="D139" s="22" t="s">
        <v>3136</v>
      </c>
      <c r="E139" s="27"/>
      <c r="F139" s="27">
        <v>2.0</v>
      </c>
      <c r="G139" s="22">
        <v>1.0</v>
      </c>
      <c r="I139" s="57"/>
      <c r="K139" s="49">
        <f t="shared" si="3"/>
        <v>20</v>
      </c>
    </row>
    <row r="140" ht="12.0" customHeight="1">
      <c r="A140" s="56"/>
      <c r="B140" s="56"/>
      <c r="C140" s="56"/>
      <c r="D140" s="22" t="s">
        <v>3138</v>
      </c>
      <c r="E140" s="27"/>
      <c r="F140" s="27">
        <v>3.0</v>
      </c>
      <c r="G140" s="22">
        <v>1.0</v>
      </c>
      <c r="I140" s="57"/>
      <c r="K140" s="49">
        <f t="shared" si="3"/>
        <v>30</v>
      </c>
    </row>
    <row r="141" ht="12.0" customHeight="1">
      <c r="A141" s="56"/>
      <c r="B141" s="56"/>
      <c r="C141" s="56"/>
      <c r="D141" s="22" t="s">
        <v>3139</v>
      </c>
      <c r="E141" s="27"/>
      <c r="F141" s="27">
        <v>3.0</v>
      </c>
      <c r="G141" s="22">
        <v>1.0</v>
      </c>
      <c r="I141" s="57"/>
      <c r="K141" s="49">
        <f t="shared" si="3"/>
        <v>30</v>
      </c>
    </row>
    <row r="142" ht="12.0" customHeight="1">
      <c r="A142" s="56"/>
      <c r="B142" s="56"/>
      <c r="C142" s="56"/>
      <c r="D142" s="22" t="s">
        <v>3141</v>
      </c>
      <c r="E142" s="27"/>
      <c r="F142" s="27">
        <v>3.0</v>
      </c>
      <c r="G142" s="22">
        <v>1.0</v>
      </c>
      <c r="I142" s="57"/>
      <c r="K142" s="49">
        <f t="shared" si="3"/>
        <v>30</v>
      </c>
    </row>
    <row r="143" ht="12.0" customHeight="1">
      <c r="A143" s="56"/>
      <c r="B143" s="56"/>
      <c r="C143" s="56"/>
      <c r="D143" s="22" t="s">
        <v>3142</v>
      </c>
      <c r="E143" s="27"/>
      <c r="F143" s="27">
        <v>3.0</v>
      </c>
      <c r="G143" s="22">
        <v>1.0</v>
      </c>
      <c r="I143" s="57"/>
      <c r="K143" s="49">
        <f t="shared" si="3"/>
        <v>30</v>
      </c>
    </row>
    <row r="144" ht="12.0" customHeight="1">
      <c r="A144" s="56"/>
      <c r="B144" s="56"/>
      <c r="C144" s="56"/>
      <c r="D144" s="22" t="s">
        <v>3143</v>
      </c>
      <c r="E144" s="27"/>
      <c r="F144" s="27">
        <v>3.0</v>
      </c>
      <c r="G144" s="22">
        <v>1.0</v>
      </c>
      <c r="I144" s="57"/>
      <c r="K144" s="49">
        <f t="shared" si="3"/>
        <v>30</v>
      </c>
    </row>
    <row r="145" ht="12.0" customHeight="1">
      <c r="A145" s="56"/>
      <c r="B145" s="56"/>
      <c r="C145" s="56"/>
      <c r="D145" s="22" t="s">
        <v>3145</v>
      </c>
      <c r="E145" s="27"/>
      <c r="F145" s="27">
        <v>3.0</v>
      </c>
      <c r="G145" s="22">
        <v>1.0</v>
      </c>
      <c r="I145" s="57"/>
      <c r="K145" s="49">
        <f t="shared" si="3"/>
        <v>30</v>
      </c>
    </row>
    <row r="146" ht="12.0" customHeight="1">
      <c r="A146" s="56"/>
      <c r="B146" s="56"/>
      <c r="C146" s="56"/>
      <c r="D146" s="22" t="s">
        <v>3146</v>
      </c>
      <c r="E146" s="27"/>
      <c r="F146" s="27">
        <v>3.0</v>
      </c>
      <c r="G146" s="22">
        <v>1.0</v>
      </c>
      <c r="I146" s="57"/>
      <c r="K146" s="49">
        <f t="shared" si="3"/>
        <v>30</v>
      </c>
    </row>
    <row r="147" ht="12.0" customHeight="1">
      <c r="A147" s="56"/>
      <c r="B147" s="56"/>
      <c r="C147" s="56"/>
      <c r="D147" s="22" t="s">
        <v>3148</v>
      </c>
      <c r="E147" s="27"/>
      <c r="F147" s="27">
        <v>3.0</v>
      </c>
      <c r="G147" s="22">
        <v>1.0</v>
      </c>
      <c r="I147" s="57"/>
      <c r="K147" s="49">
        <f t="shared" si="3"/>
        <v>30</v>
      </c>
    </row>
    <row r="148" ht="12.0" customHeight="1">
      <c r="A148" s="56"/>
      <c r="B148" s="56"/>
      <c r="C148" s="56"/>
      <c r="D148" s="22" t="s">
        <v>3149</v>
      </c>
      <c r="E148" s="27"/>
      <c r="F148" s="27">
        <v>3.0</v>
      </c>
      <c r="G148" s="22">
        <v>1.0</v>
      </c>
      <c r="I148" s="57"/>
      <c r="K148" s="49">
        <f t="shared" si="3"/>
        <v>30</v>
      </c>
    </row>
    <row r="149" ht="12.0" customHeight="1">
      <c r="A149" s="56"/>
      <c r="B149" s="56"/>
      <c r="C149" s="56"/>
      <c r="D149" s="22" t="s">
        <v>3150</v>
      </c>
      <c r="E149" s="27"/>
      <c r="F149" s="27">
        <v>2.0</v>
      </c>
      <c r="G149" s="22">
        <v>1.0</v>
      </c>
      <c r="I149" s="57"/>
      <c r="K149" s="49">
        <f t="shared" si="3"/>
        <v>20</v>
      </c>
    </row>
    <row r="150" ht="12.0" customHeight="1">
      <c r="A150" s="56"/>
      <c r="B150" s="56"/>
      <c r="C150" s="56"/>
      <c r="D150" s="22" t="s">
        <v>3151</v>
      </c>
      <c r="E150" s="27"/>
      <c r="F150" s="27">
        <v>2.0</v>
      </c>
      <c r="G150" s="22">
        <v>1.0</v>
      </c>
      <c r="I150" s="57"/>
      <c r="K150" s="49">
        <f t="shared" si="3"/>
        <v>20</v>
      </c>
    </row>
    <row r="151" ht="12.0" customHeight="1">
      <c r="A151" s="56"/>
      <c r="B151" s="56"/>
      <c r="C151" s="56"/>
      <c r="D151" s="22" t="s">
        <v>3152</v>
      </c>
      <c r="E151" s="27"/>
      <c r="F151" s="27">
        <v>2.0</v>
      </c>
      <c r="G151" s="22">
        <v>1.0</v>
      </c>
      <c r="I151" s="57"/>
      <c r="K151" s="49">
        <f t="shared" si="3"/>
        <v>20</v>
      </c>
    </row>
    <row r="152" ht="12.0" customHeight="1">
      <c r="A152" s="56"/>
      <c r="B152" s="56"/>
      <c r="C152" s="56"/>
      <c r="D152" s="22" t="s">
        <v>3154</v>
      </c>
      <c r="E152" s="27"/>
      <c r="F152" s="27">
        <v>2.0</v>
      </c>
      <c r="G152" s="22">
        <v>1.0</v>
      </c>
      <c r="I152" s="57"/>
      <c r="K152" s="49">
        <f t="shared" si="3"/>
        <v>20</v>
      </c>
    </row>
    <row r="153" ht="12.0" customHeight="1">
      <c r="A153" s="56"/>
      <c r="B153" s="56"/>
      <c r="C153" s="56"/>
      <c r="D153" s="22" t="s">
        <v>3155</v>
      </c>
      <c r="E153" s="27"/>
      <c r="F153" s="27">
        <v>2.0</v>
      </c>
      <c r="G153" s="22">
        <v>1.0</v>
      </c>
      <c r="I153" s="57"/>
      <c r="K153" s="49">
        <f t="shared" si="3"/>
        <v>20</v>
      </c>
    </row>
    <row r="154" ht="12.0" customHeight="1">
      <c r="A154" s="56"/>
      <c r="B154" s="56"/>
      <c r="C154" s="56"/>
      <c r="D154" s="22" t="s">
        <v>3156</v>
      </c>
      <c r="E154" s="27"/>
      <c r="F154" s="27">
        <v>2.0</v>
      </c>
      <c r="G154" s="22">
        <v>1.0</v>
      </c>
      <c r="I154" s="57"/>
      <c r="K154" s="49">
        <f t="shared" si="3"/>
        <v>20</v>
      </c>
    </row>
    <row r="155" ht="12.0" customHeight="1">
      <c r="A155" s="56"/>
      <c r="B155" s="56"/>
      <c r="C155" s="56"/>
      <c r="D155" s="22" t="s">
        <v>3158</v>
      </c>
      <c r="E155" s="27"/>
      <c r="F155" s="27">
        <v>2.0</v>
      </c>
      <c r="G155" s="22">
        <v>1.0</v>
      </c>
      <c r="I155" s="57"/>
      <c r="K155" s="49">
        <f t="shared" si="3"/>
        <v>20</v>
      </c>
    </row>
    <row r="156" ht="12.0" customHeight="1">
      <c r="A156" s="22"/>
      <c r="B156" s="22"/>
      <c r="C156" s="27"/>
      <c r="D156" s="27"/>
      <c r="E156" s="27"/>
      <c r="F156" s="27"/>
      <c r="I156" s="57"/>
      <c r="K156" s="49"/>
    </row>
    <row r="157" ht="12.0" customHeight="1">
      <c r="A157" s="56" t="s">
        <v>490</v>
      </c>
      <c r="B157" s="56"/>
      <c r="C157" s="27"/>
      <c r="D157" s="27"/>
      <c r="E157" s="27"/>
      <c r="F157" s="27"/>
      <c r="I157" s="57"/>
      <c r="K157" s="49"/>
    </row>
    <row r="158" ht="12.75" customHeight="1">
      <c r="A158" s="22"/>
      <c r="B158" s="22"/>
      <c r="C158" s="27"/>
      <c r="D158" s="27"/>
      <c r="E158" s="27"/>
      <c r="F158" s="27"/>
      <c r="J158" s="57" t="s">
        <v>2926</v>
      </c>
      <c r="K158" s="49"/>
    </row>
    <row r="159" ht="12.75" customHeight="1">
      <c r="A159" s="22"/>
      <c r="B159" s="22"/>
      <c r="C159" s="57" t="s">
        <v>2927</v>
      </c>
      <c r="D159" s="57" t="s">
        <v>2928</v>
      </c>
      <c r="E159" s="57" t="s">
        <v>17</v>
      </c>
      <c r="F159" s="57" t="s">
        <v>12</v>
      </c>
      <c r="G159" s="57"/>
      <c r="H159" s="57"/>
      <c r="J159" s="67">
        <v>15.0</v>
      </c>
      <c r="K159" s="66" t="s">
        <v>22</v>
      </c>
    </row>
    <row r="160" ht="12.0" customHeight="1">
      <c r="A160" s="22"/>
      <c r="B160" s="22"/>
      <c r="C160" s="57"/>
      <c r="D160" s="22" t="s">
        <v>3161</v>
      </c>
      <c r="E160" s="68">
        <v>4.0</v>
      </c>
      <c r="F160" s="63">
        <v>2.0</v>
      </c>
      <c r="G160" s="57"/>
      <c r="H160" s="57"/>
      <c r="J160" s="57"/>
      <c r="K160" s="49">
        <f t="shared" ref="K160:K199" si="4">E160*F160*$J$159</f>
        <v>120</v>
      </c>
    </row>
    <row r="161" ht="12.0" customHeight="1">
      <c r="A161" s="22"/>
      <c r="B161" s="22"/>
      <c r="C161" s="57"/>
      <c r="D161" s="22" t="s">
        <v>3163</v>
      </c>
      <c r="E161" s="68">
        <v>4.0</v>
      </c>
      <c r="F161" s="63">
        <v>2.0</v>
      </c>
      <c r="G161" s="57"/>
      <c r="H161" s="57"/>
      <c r="J161" s="57"/>
      <c r="K161" s="49">
        <f t="shared" si="4"/>
        <v>120</v>
      </c>
    </row>
    <row r="162" ht="12.0" customHeight="1">
      <c r="A162" s="22"/>
      <c r="B162" s="22"/>
      <c r="C162" s="57"/>
      <c r="D162" s="22" t="s">
        <v>3165</v>
      </c>
      <c r="E162" s="68">
        <v>4.0</v>
      </c>
      <c r="F162" s="63">
        <v>2.0</v>
      </c>
      <c r="G162" s="57"/>
      <c r="H162" s="57"/>
      <c r="J162" s="57"/>
      <c r="K162" s="49">
        <f t="shared" si="4"/>
        <v>120</v>
      </c>
    </row>
    <row r="163" ht="12.0" customHeight="1">
      <c r="A163" s="22"/>
      <c r="B163" s="22"/>
      <c r="C163" s="57"/>
      <c r="D163" s="22" t="s">
        <v>3166</v>
      </c>
      <c r="E163" s="68">
        <v>4.0</v>
      </c>
      <c r="F163" s="63">
        <v>2.0</v>
      </c>
      <c r="G163" s="57"/>
      <c r="H163" s="57"/>
      <c r="J163" s="57"/>
      <c r="K163" s="49">
        <f t="shared" si="4"/>
        <v>120</v>
      </c>
    </row>
    <row r="164" ht="12.0" customHeight="1">
      <c r="A164" s="22"/>
      <c r="B164" s="22"/>
      <c r="C164" s="57"/>
      <c r="D164" s="22" t="s">
        <v>3168</v>
      </c>
      <c r="E164" s="68">
        <v>4.0</v>
      </c>
      <c r="F164" s="63">
        <v>2.0</v>
      </c>
      <c r="G164" s="57"/>
      <c r="H164" s="57"/>
      <c r="J164" s="57"/>
      <c r="K164" s="49">
        <f t="shared" si="4"/>
        <v>120</v>
      </c>
    </row>
    <row r="165" ht="12.0" customHeight="1">
      <c r="A165" s="22"/>
      <c r="B165" s="22"/>
      <c r="C165" s="57"/>
      <c r="D165" s="22" t="s">
        <v>3169</v>
      </c>
      <c r="E165" s="68">
        <v>4.0</v>
      </c>
      <c r="F165" s="63">
        <v>2.0</v>
      </c>
      <c r="G165" s="57"/>
      <c r="H165" s="57"/>
      <c r="J165" s="57"/>
      <c r="K165" s="49">
        <f t="shared" si="4"/>
        <v>120</v>
      </c>
    </row>
    <row r="166" ht="12.0" customHeight="1">
      <c r="A166" s="22"/>
      <c r="B166" s="22"/>
      <c r="C166" s="57"/>
      <c r="D166" s="22" t="s">
        <v>3170</v>
      </c>
      <c r="E166" s="68">
        <v>6.0</v>
      </c>
      <c r="F166" s="63">
        <v>2.0</v>
      </c>
      <c r="G166" s="57"/>
      <c r="H166" s="57"/>
      <c r="J166" s="57"/>
      <c r="K166" s="49">
        <f t="shared" si="4"/>
        <v>180</v>
      </c>
    </row>
    <row r="167" ht="12.0" customHeight="1">
      <c r="A167" s="22"/>
      <c r="B167" s="22"/>
      <c r="C167" s="57"/>
      <c r="D167" s="22" t="s">
        <v>3172</v>
      </c>
      <c r="E167" s="68">
        <v>6.0</v>
      </c>
      <c r="F167" s="63">
        <v>2.0</v>
      </c>
      <c r="G167" s="57"/>
      <c r="H167" s="57"/>
      <c r="J167" s="57"/>
      <c r="K167" s="49">
        <f t="shared" si="4"/>
        <v>180</v>
      </c>
    </row>
    <row r="168" ht="12.0" customHeight="1">
      <c r="A168" s="22"/>
      <c r="B168" s="22"/>
      <c r="C168" s="57"/>
      <c r="D168" s="22" t="s">
        <v>3173</v>
      </c>
      <c r="E168" s="68">
        <v>6.0</v>
      </c>
      <c r="F168" s="63">
        <v>2.0</v>
      </c>
      <c r="G168" s="57"/>
      <c r="H168" s="57"/>
      <c r="J168" s="57"/>
      <c r="K168" s="49">
        <f t="shared" si="4"/>
        <v>180</v>
      </c>
    </row>
    <row r="169" ht="12.0" customHeight="1">
      <c r="A169" s="22"/>
      <c r="B169" s="22"/>
      <c r="C169" s="57"/>
      <c r="D169" s="22" t="s">
        <v>3174</v>
      </c>
      <c r="E169" s="68">
        <v>6.0</v>
      </c>
      <c r="F169" s="63">
        <v>2.0</v>
      </c>
      <c r="G169" s="57"/>
      <c r="H169" s="57"/>
      <c r="J169" s="57"/>
      <c r="K169" s="49">
        <f t="shared" si="4"/>
        <v>180</v>
      </c>
    </row>
    <row r="170" ht="12.0" customHeight="1">
      <c r="A170" s="22"/>
      <c r="B170" s="22"/>
      <c r="C170" s="57"/>
      <c r="D170" s="22" t="s">
        <v>3176</v>
      </c>
      <c r="E170" s="68">
        <v>6.0</v>
      </c>
      <c r="F170" s="63">
        <v>2.0</v>
      </c>
      <c r="G170" s="57"/>
      <c r="H170" s="57"/>
      <c r="J170" s="57"/>
      <c r="K170" s="49">
        <f t="shared" si="4"/>
        <v>180</v>
      </c>
    </row>
    <row r="171" ht="12.0" customHeight="1">
      <c r="A171" s="22"/>
      <c r="B171" s="22"/>
      <c r="C171" s="57"/>
      <c r="D171" s="22" t="s">
        <v>3177</v>
      </c>
      <c r="E171" s="68">
        <v>6.0</v>
      </c>
      <c r="F171" s="63">
        <v>2.0</v>
      </c>
      <c r="G171" s="57"/>
      <c r="H171" s="57"/>
      <c r="J171" s="57"/>
      <c r="K171" s="49">
        <f t="shared" si="4"/>
        <v>180</v>
      </c>
    </row>
    <row r="172" ht="12.0" customHeight="1">
      <c r="A172" s="22"/>
      <c r="B172" s="22"/>
      <c r="C172" s="57"/>
      <c r="D172" s="22" t="s">
        <v>3179</v>
      </c>
      <c r="E172" s="68">
        <v>6.0</v>
      </c>
      <c r="F172" s="63">
        <v>2.0</v>
      </c>
      <c r="G172" s="57"/>
      <c r="H172" s="57"/>
      <c r="J172" s="57"/>
      <c r="K172" s="49">
        <f t="shared" si="4"/>
        <v>180</v>
      </c>
    </row>
    <row r="173" ht="12.0" customHeight="1">
      <c r="A173" s="22"/>
      <c r="B173" s="22"/>
      <c r="C173" s="57"/>
      <c r="D173" s="22" t="s">
        <v>3180</v>
      </c>
      <c r="E173" s="68">
        <v>6.0</v>
      </c>
      <c r="F173" s="63">
        <v>2.0</v>
      </c>
      <c r="G173" s="57"/>
      <c r="H173" s="57"/>
      <c r="J173" s="57"/>
      <c r="K173" s="49">
        <f t="shared" si="4"/>
        <v>180</v>
      </c>
    </row>
    <row r="174" ht="12.0" customHeight="1">
      <c r="A174" s="22"/>
      <c r="B174" s="22"/>
      <c r="C174" s="57"/>
      <c r="D174" s="22" t="s">
        <v>3182</v>
      </c>
      <c r="E174" s="68">
        <v>6.0</v>
      </c>
      <c r="F174" s="63">
        <v>2.0</v>
      </c>
      <c r="G174" s="57"/>
      <c r="H174" s="57"/>
      <c r="J174" s="57"/>
      <c r="K174" s="49">
        <f t="shared" si="4"/>
        <v>180</v>
      </c>
    </row>
    <row r="175" ht="12.0" customHeight="1">
      <c r="A175" s="22"/>
      <c r="B175" s="22"/>
      <c r="C175" s="57"/>
      <c r="D175" s="22" t="s">
        <v>3183</v>
      </c>
      <c r="E175" s="68">
        <v>6.0</v>
      </c>
      <c r="F175" s="63">
        <v>2.0</v>
      </c>
      <c r="G175" s="57"/>
      <c r="H175" s="57"/>
      <c r="J175" s="57"/>
      <c r="K175" s="49">
        <f t="shared" si="4"/>
        <v>180</v>
      </c>
    </row>
    <row r="176" ht="12.0" customHeight="1">
      <c r="A176" s="22"/>
      <c r="B176" s="22"/>
      <c r="C176" s="57"/>
      <c r="D176" s="22" t="s">
        <v>3184</v>
      </c>
      <c r="E176" s="68">
        <v>6.0</v>
      </c>
      <c r="F176" s="63">
        <v>2.0</v>
      </c>
      <c r="G176" s="57"/>
      <c r="H176" s="57"/>
      <c r="J176" s="57"/>
      <c r="K176" s="49">
        <f t="shared" si="4"/>
        <v>180</v>
      </c>
    </row>
    <row r="177" ht="12.0" customHeight="1">
      <c r="A177" s="22"/>
      <c r="B177" s="22"/>
      <c r="C177" s="57"/>
      <c r="D177" s="22" t="s">
        <v>3186</v>
      </c>
      <c r="E177" s="68">
        <v>6.0</v>
      </c>
      <c r="F177" s="63">
        <v>2.0</v>
      </c>
      <c r="G177" s="57"/>
      <c r="H177" s="57"/>
      <c r="J177" s="57"/>
      <c r="K177" s="49">
        <f t="shared" si="4"/>
        <v>180</v>
      </c>
    </row>
    <row r="178" ht="12.0" customHeight="1">
      <c r="A178" s="22"/>
      <c r="B178" s="22"/>
      <c r="C178" s="57"/>
      <c r="D178" s="22" t="s">
        <v>3187</v>
      </c>
      <c r="E178" s="68">
        <v>10.0</v>
      </c>
      <c r="F178" s="63">
        <v>2.0</v>
      </c>
      <c r="G178" s="57"/>
      <c r="H178" s="57"/>
      <c r="J178" s="57"/>
      <c r="K178" s="49">
        <f t="shared" si="4"/>
        <v>300</v>
      </c>
    </row>
    <row r="179" ht="12.0" customHeight="1">
      <c r="A179" s="22"/>
      <c r="B179" s="22"/>
      <c r="C179" s="57"/>
      <c r="D179" s="22" t="s">
        <v>3188</v>
      </c>
      <c r="E179" s="68">
        <v>10.0</v>
      </c>
      <c r="F179" s="63">
        <v>2.0</v>
      </c>
      <c r="G179" s="57"/>
      <c r="H179" s="57"/>
      <c r="J179" s="57"/>
      <c r="K179" s="49">
        <f t="shared" si="4"/>
        <v>300</v>
      </c>
    </row>
    <row r="180" ht="12.0" customHeight="1">
      <c r="A180" s="22"/>
      <c r="B180" s="22"/>
      <c r="C180" s="57"/>
      <c r="D180" s="22" t="s">
        <v>3190</v>
      </c>
      <c r="E180" s="68">
        <v>10.0</v>
      </c>
      <c r="F180" s="63">
        <v>2.0</v>
      </c>
      <c r="G180" s="57"/>
      <c r="H180" s="57"/>
      <c r="J180" s="57"/>
      <c r="K180" s="49">
        <f t="shared" si="4"/>
        <v>300</v>
      </c>
    </row>
    <row r="181" ht="12.0" customHeight="1">
      <c r="A181" s="22"/>
      <c r="B181" s="22"/>
      <c r="C181" s="57"/>
      <c r="D181" s="22" t="s">
        <v>3191</v>
      </c>
      <c r="E181" s="68">
        <v>10.0</v>
      </c>
      <c r="F181" s="63">
        <v>2.0</v>
      </c>
      <c r="G181" s="57"/>
      <c r="H181" s="57"/>
      <c r="J181" s="57"/>
      <c r="K181" s="49">
        <f t="shared" si="4"/>
        <v>300</v>
      </c>
    </row>
    <row r="182" ht="12.0" customHeight="1">
      <c r="A182" s="22"/>
      <c r="B182" s="22"/>
      <c r="C182" s="57"/>
      <c r="D182" s="22" t="s">
        <v>3192</v>
      </c>
      <c r="E182" s="68">
        <v>8.0</v>
      </c>
      <c r="F182" s="63">
        <v>3.0</v>
      </c>
      <c r="G182" s="57"/>
      <c r="H182" s="57"/>
      <c r="J182" s="57"/>
      <c r="K182" s="49">
        <f t="shared" si="4"/>
        <v>360</v>
      </c>
    </row>
    <row r="183" ht="12.0" customHeight="1">
      <c r="A183" s="22"/>
      <c r="B183" s="22"/>
      <c r="C183" s="57"/>
      <c r="D183" s="22" t="s">
        <v>3194</v>
      </c>
      <c r="E183" s="68">
        <v>8.0</v>
      </c>
      <c r="F183" s="63">
        <v>3.0</v>
      </c>
      <c r="G183" s="57"/>
      <c r="H183" s="57"/>
      <c r="J183" s="57"/>
      <c r="K183" s="49">
        <f t="shared" si="4"/>
        <v>360</v>
      </c>
    </row>
    <row r="184" ht="12.0" customHeight="1">
      <c r="A184" s="22"/>
      <c r="B184" s="22"/>
      <c r="C184" s="57"/>
      <c r="D184" s="22" t="s">
        <v>3195</v>
      </c>
      <c r="E184" s="68">
        <v>10.0</v>
      </c>
      <c r="F184" s="63">
        <v>3.0</v>
      </c>
      <c r="G184" s="57"/>
      <c r="H184" s="57"/>
      <c r="J184" s="57"/>
      <c r="K184" s="49">
        <f t="shared" si="4"/>
        <v>450</v>
      </c>
    </row>
    <row r="185" ht="12.0" customHeight="1">
      <c r="A185" s="22"/>
      <c r="B185" s="22"/>
      <c r="C185" s="57"/>
      <c r="D185" s="22" t="s">
        <v>3196</v>
      </c>
      <c r="E185" s="68">
        <v>10.0</v>
      </c>
      <c r="F185" s="63">
        <v>3.0</v>
      </c>
      <c r="G185" s="57"/>
      <c r="H185" s="57"/>
      <c r="J185" s="57"/>
      <c r="K185" s="49">
        <f t="shared" si="4"/>
        <v>450</v>
      </c>
    </row>
    <row r="186" ht="12.0" customHeight="1">
      <c r="A186" s="22"/>
      <c r="B186" s="22"/>
      <c r="C186" s="57"/>
      <c r="D186" s="22" t="s">
        <v>3198</v>
      </c>
      <c r="E186" s="68">
        <v>12.0</v>
      </c>
      <c r="F186" s="63">
        <v>3.0</v>
      </c>
      <c r="G186" s="57"/>
      <c r="H186" s="57"/>
      <c r="J186" s="57"/>
      <c r="K186" s="49">
        <f t="shared" si="4"/>
        <v>540</v>
      </c>
    </row>
    <row r="187" ht="12.0" customHeight="1">
      <c r="A187" s="22"/>
      <c r="B187" s="22"/>
      <c r="C187" s="57"/>
      <c r="D187" s="22" t="s">
        <v>3199</v>
      </c>
      <c r="E187" s="68">
        <v>12.0</v>
      </c>
      <c r="F187" s="63">
        <v>3.0</v>
      </c>
      <c r="G187" s="57"/>
      <c r="H187" s="57"/>
      <c r="J187" s="57"/>
      <c r="K187" s="49">
        <f t="shared" si="4"/>
        <v>540</v>
      </c>
    </row>
    <row r="188" ht="12.0" customHeight="1">
      <c r="A188" s="22"/>
      <c r="B188" s="22"/>
      <c r="C188" s="27"/>
      <c r="D188" s="22" t="s">
        <v>3201</v>
      </c>
      <c r="E188" s="64">
        <v>10.0</v>
      </c>
      <c r="F188" s="63">
        <v>3.0</v>
      </c>
      <c r="K188" s="49">
        <f t="shared" si="4"/>
        <v>450</v>
      </c>
    </row>
    <row r="189" ht="12.0" customHeight="1">
      <c r="A189" s="22"/>
      <c r="B189" s="22"/>
      <c r="C189" s="27"/>
      <c r="D189" s="22" t="s">
        <v>3202</v>
      </c>
      <c r="E189" s="64">
        <v>10.0</v>
      </c>
      <c r="F189" s="63">
        <v>3.0</v>
      </c>
      <c r="K189" s="49">
        <f t="shared" si="4"/>
        <v>450</v>
      </c>
    </row>
    <row r="190" ht="12.0" customHeight="1">
      <c r="A190" s="22"/>
      <c r="B190" s="22"/>
      <c r="C190" s="27"/>
      <c r="D190" s="22" t="s">
        <v>3203</v>
      </c>
      <c r="E190" s="64">
        <v>10.0</v>
      </c>
      <c r="F190" s="63">
        <v>3.0</v>
      </c>
      <c r="K190" s="49">
        <f t="shared" si="4"/>
        <v>450</v>
      </c>
    </row>
    <row r="191" ht="12.0" customHeight="1">
      <c r="A191" s="22"/>
      <c r="B191" s="22"/>
      <c r="C191" s="27"/>
      <c r="D191" s="22" t="s">
        <v>3205</v>
      </c>
      <c r="E191" s="64">
        <v>8.0</v>
      </c>
      <c r="F191" s="63">
        <v>3.0</v>
      </c>
      <c r="K191" s="49">
        <f t="shared" si="4"/>
        <v>360</v>
      </c>
    </row>
    <row r="192" ht="12.0" customHeight="1">
      <c r="A192" s="22"/>
      <c r="B192" s="22"/>
      <c r="C192" s="27"/>
      <c r="D192" s="22" t="s">
        <v>3206</v>
      </c>
      <c r="E192" s="64">
        <v>8.0</v>
      </c>
      <c r="F192" s="63">
        <v>3.0</v>
      </c>
      <c r="K192" s="49">
        <f t="shared" si="4"/>
        <v>360</v>
      </c>
    </row>
    <row r="193" ht="12.0" customHeight="1">
      <c r="A193" s="22"/>
      <c r="B193" s="22"/>
      <c r="C193" s="27"/>
      <c r="D193" s="22" t="s">
        <v>3207</v>
      </c>
      <c r="E193" s="64">
        <v>8.0</v>
      </c>
      <c r="F193" s="63">
        <v>3.0</v>
      </c>
      <c r="K193" s="49">
        <f t="shared" si="4"/>
        <v>360</v>
      </c>
    </row>
    <row r="194" ht="12.0" customHeight="1">
      <c r="A194" s="22"/>
      <c r="B194" s="22"/>
      <c r="C194" s="27"/>
      <c r="D194" s="22" t="s">
        <v>3208</v>
      </c>
      <c r="E194" s="64">
        <v>6.0</v>
      </c>
      <c r="F194" s="63">
        <v>3.0</v>
      </c>
      <c r="K194" s="49">
        <f t="shared" si="4"/>
        <v>270</v>
      </c>
    </row>
    <row r="195" ht="12.0" customHeight="1">
      <c r="A195" s="22"/>
      <c r="B195" s="22"/>
      <c r="C195" s="27"/>
      <c r="D195" s="22" t="s">
        <v>3210</v>
      </c>
      <c r="E195" s="64">
        <v>6.0</v>
      </c>
      <c r="F195" s="63">
        <v>3.0</v>
      </c>
      <c r="K195" s="49">
        <f t="shared" si="4"/>
        <v>270</v>
      </c>
    </row>
    <row r="196" ht="12.0" customHeight="1">
      <c r="A196" s="22"/>
      <c r="B196" s="22"/>
      <c r="C196" s="27"/>
      <c r="D196" s="22" t="s">
        <v>3211</v>
      </c>
      <c r="E196" s="64">
        <v>6.0</v>
      </c>
      <c r="F196" s="63">
        <v>3.0</v>
      </c>
      <c r="K196" s="49">
        <f t="shared" si="4"/>
        <v>270</v>
      </c>
    </row>
    <row r="197" ht="12.0" customHeight="1">
      <c r="A197" s="22"/>
      <c r="B197" s="22"/>
      <c r="C197" s="27"/>
      <c r="D197" s="22" t="s">
        <v>3212</v>
      </c>
      <c r="E197" s="64">
        <v>6.0</v>
      </c>
      <c r="F197" s="63">
        <v>3.0</v>
      </c>
      <c r="K197" s="49">
        <f t="shared" si="4"/>
        <v>270</v>
      </c>
    </row>
    <row r="198" ht="12.0" customHeight="1">
      <c r="A198" s="22"/>
      <c r="B198" s="22"/>
      <c r="C198" s="27"/>
      <c r="D198" s="22" t="s">
        <v>3214</v>
      </c>
      <c r="E198" s="64">
        <v>6.0</v>
      </c>
      <c r="F198" s="63">
        <v>3.0</v>
      </c>
      <c r="K198" s="49">
        <f t="shared" si="4"/>
        <v>270</v>
      </c>
    </row>
    <row r="199" ht="12.0" customHeight="1">
      <c r="A199" s="22"/>
      <c r="B199" s="22"/>
      <c r="C199" s="27"/>
      <c r="D199" s="22" t="s">
        <v>3215</v>
      </c>
      <c r="E199" s="64">
        <v>6.0</v>
      </c>
      <c r="F199" s="63">
        <v>3.0</v>
      </c>
      <c r="K199" s="49">
        <f t="shared" si="4"/>
        <v>270</v>
      </c>
    </row>
    <row r="200" ht="12.0" customHeight="1">
      <c r="A200" s="22"/>
      <c r="B200" s="22"/>
      <c r="C200" s="27"/>
      <c r="D200" s="27"/>
      <c r="E200" s="27"/>
      <c r="F200" s="27"/>
      <c r="K200" s="49"/>
    </row>
    <row r="201" ht="12.0" customHeight="1">
      <c r="A201" s="56" t="s">
        <v>3217</v>
      </c>
      <c r="B201" s="56"/>
      <c r="C201" s="27"/>
      <c r="D201" s="27"/>
      <c r="E201" s="27"/>
      <c r="F201" s="27"/>
      <c r="K201" s="49"/>
    </row>
    <row r="202" ht="12.75" customHeight="1">
      <c r="A202" s="22"/>
      <c r="B202" s="22"/>
      <c r="C202" s="27"/>
      <c r="D202" s="27"/>
      <c r="E202" s="27"/>
      <c r="F202" s="27"/>
      <c r="J202" s="57" t="s">
        <v>2926</v>
      </c>
      <c r="K202" s="49"/>
    </row>
    <row r="203" ht="12.75" customHeight="1">
      <c r="A203" s="22"/>
      <c r="B203" s="22"/>
      <c r="C203" s="57" t="s">
        <v>2927</v>
      </c>
      <c r="D203" s="57" t="s">
        <v>2928</v>
      </c>
      <c r="E203" s="57" t="s">
        <v>2929</v>
      </c>
      <c r="F203" s="57" t="s">
        <v>12</v>
      </c>
      <c r="G203" s="57"/>
      <c r="H203" s="57"/>
      <c r="J203" s="58">
        <v>3.0</v>
      </c>
      <c r="K203" s="66" t="s">
        <v>22</v>
      </c>
    </row>
    <row r="204" ht="12.0" customHeight="1">
      <c r="A204" s="22"/>
      <c r="B204" s="56" t="s">
        <v>3219</v>
      </c>
      <c r="C204" s="57"/>
      <c r="D204" s="57"/>
      <c r="E204" s="57"/>
      <c r="F204" s="57"/>
      <c r="G204" s="57"/>
      <c r="H204" s="57"/>
      <c r="J204" s="57"/>
      <c r="K204" s="69"/>
    </row>
    <row r="205" ht="12.0" customHeight="1">
      <c r="A205" s="22"/>
      <c r="B205" s="22"/>
      <c r="C205" s="27"/>
      <c r="D205" s="22" t="s">
        <v>3221</v>
      </c>
      <c r="E205" s="64">
        <v>20.0</v>
      </c>
      <c r="F205" s="27">
        <v>1.0</v>
      </c>
      <c r="K205" s="49">
        <f t="shared" ref="K205:K221" si="5">E205*F205*$J$203</f>
        <v>60</v>
      </c>
    </row>
    <row r="206" ht="12.0" customHeight="1">
      <c r="A206" s="22"/>
      <c r="B206" s="22"/>
      <c r="C206" s="27"/>
      <c r="D206" s="22" t="s">
        <v>3223</v>
      </c>
      <c r="E206" s="64">
        <v>20.0</v>
      </c>
      <c r="F206" s="27">
        <v>1.0</v>
      </c>
      <c r="K206" s="49">
        <f t="shared" si="5"/>
        <v>60</v>
      </c>
    </row>
    <row r="207" ht="12.0" customHeight="1">
      <c r="A207" s="22"/>
      <c r="B207" s="22"/>
      <c r="C207" s="27"/>
      <c r="D207" s="22" t="s">
        <v>3224</v>
      </c>
      <c r="E207" s="64">
        <v>20.0</v>
      </c>
      <c r="F207" s="27">
        <v>1.0</v>
      </c>
      <c r="K207" s="49">
        <f t="shared" si="5"/>
        <v>60</v>
      </c>
    </row>
    <row r="208" ht="12.0" customHeight="1">
      <c r="A208" s="22"/>
      <c r="B208" s="22"/>
      <c r="C208" s="27"/>
      <c r="D208" s="22" t="s">
        <v>3225</v>
      </c>
      <c r="E208" s="64">
        <v>20.0</v>
      </c>
      <c r="F208" s="27">
        <v>1.0</v>
      </c>
      <c r="K208" s="49">
        <f t="shared" si="5"/>
        <v>60</v>
      </c>
    </row>
    <row r="209" ht="12.0" customHeight="1">
      <c r="A209" s="22"/>
      <c r="B209" s="22"/>
      <c r="C209" s="27"/>
      <c r="D209" s="22" t="s">
        <v>3227</v>
      </c>
      <c r="E209" s="64">
        <v>20.0</v>
      </c>
      <c r="F209" s="27">
        <v>1.0</v>
      </c>
      <c r="K209" s="49">
        <f t="shared" si="5"/>
        <v>60</v>
      </c>
    </row>
    <row r="210" ht="12.0" customHeight="1">
      <c r="A210" s="22"/>
      <c r="B210" s="22"/>
      <c r="C210" s="27"/>
      <c r="D210" s="22" t="s">
        <v>3228</v>
      </c>
      <c r="E210" s="64">
        <v>20.0</v>
      </c>
      <c r="F210" s="27">
        <v>1.0</v>
      </c>
      <c r="K210" s="49">
        <f t="shared" si="5"/>
        <v>60</v>
      </c>
    </row>
    <row r="211" ht="12.0" customHeight="1">
      <c r="A211" s="22"/>
      <c r="B211" s="22"/>
      <c r="C211" s="27"/>
      <c r="D211" s="22" t="s">
        <v>3229</v>
      </c>
      <c r="E211" s="64">
        <v>30.0</v>
      </c>
      <c r="F211" s="27">
        <v>1.0</v>
      </c>
      <c r="K211" s="49">
        <f t="shared" si="5"/>
        <v>90</v>
      </c>
    </row>
    <row r="212" ht="12.0" customHeight="1">
      <c r="A212" s="22"/>
      <c r="B212" s="22"/>
      <c r="C212" s="27"/>
      <c r="D212" s="22" t="s">
        <v>3231</v>
      </c>
      <c r="E212" s="64">
        <v>30.0</v>
      </c>
      <c r="F212" s="27">
        <v>1.0</v>
      </c>
      <c r="K212" s="49">
        <f t="shared" si="5"/>
        <v>90</v>
      </c>
    </row>
    <row r="213" ht="12.0" customHeight="1">
      <c r="A213" s="22"/>
      <c r="B213" s="22"/>
      <c r="C213" s="27"/>
      <c r="D213" s="22" t="s">
        <v>3232</v>
      </c>
      <c r="E213" s="64">
        <v>30.0</v>
      </c>
      <c r="F213" s="27">
        <v>1.0</v>
      </c>
      <c r="K213" s="49">
        <f t="shared" si="5"/>
        <v>90</v>
      </c>
    </row>
    <row r="214" ht="12.0" customHeight="1">
      <c r="A214" s="22"/>
      <c r="B214" s="22"/>
      <c r="C214" s="27"/>
      <c r="D214" s="22" t="s">
        <v>3233</v>
      </c>
      <c r="E214" s="64">
        <v>20.0</v>
      </c>
      <c r="F214" s="27">
        <v>1.0</v>
      </c>
      <c r="K214" s="49">
        <f t="shared" si="5"/>
        <v>60</v>
      </c>
    </row>
    <row r="215" ht="12.0" customHeight="1">
      <c r="A215" s="22"/>
      <c r="B215" s="22"/>
      <c r="C215" s="27"/>
      <c r="D215" s="22" t="s">
        <v>3235</v>
      </c>
      <c r="E215" s="64">
        <v>20.0</v>
      </c>
      <c r="F215" s="27">
        <v>1.0</v>
      </c>
      <c r="K215" s="49">
        <f t="shared" si="5"/>
        <v>60</v>
      </c>
    </row>
    <row r="216" ht="12.0" customHeight="1">
      <c r="A216" s="22"/>
      <c r="B216" s="22"/>
      <c r="C216" s="27"/>
      <c r="D216" s="22" t="s">
        <v>3236</v>
      </c>
      <c r="E216" s="64">
        <v>20.0</v>
      </c>
      <c r="F216" s="27">
        <v>1.0</v>
      </c>
      <c r="K216" s="49">
        <f t="shared" si="5"/>
        <v>60</v>
      </c>
    </row>
    <row r="217" ht="12.0" customHeight="1">
      <c r="A217" s="22"/>
      <c r="B217" s="22"/>
      <c r="C217" s="27"/>
      <c r="D217" s="22" t="s">
        <v>3238</v>
      </c>
      <c r="E217" s="64">
        <v>20.0</v>
      </c>
      <c r="F217" s="27">
        <v>1.0</v>
      </c>
      <c r="K217" s="49">
        <f t="shared" si="5"/>
        <v>60</v>
      </c>
    </row>
    <row r="218" ht="12.0" customHeight="1">
      <c r="A218" s="22"/>
      <c r="B218" s="22"/>
      <c r="C218" s="27"/>
      <c r="D218" s="36" t="s">
        <v>3239</v>
      </c>
      <c r="E218" s="64">
        <v>20.0</v>
      </c>
      <c r="F218" s="60">
        <v>1.0</v>
      </c>
      <c r="G218" s="6"/>
      <c r="K218" s="49">
        <f t="shared" si="5"/>
        <v>60</v>
      </c>
    </row>
    <row r="219" ht="12.0" customHeight="1">
      <c r="A219" s="22"/>
      <c r="B219" s="22"/>
      <c r="C219" s="27"/>
      <c r="D219" s="36" t="s">
        <v>3241</v>
      </c>
      <c r="E219" s="64">
        <v>20.0</v>
      </c>
      <c r="F219" s="60">
        <v>1.0</v>
      </c>
      <c r="K219" s="49">
        <f t="shared" si="5"/>
        <v>60</v>
      </c>
    </row>
    <row r="220" ht="12.0" customHeight="1">
      <c r="A220" s="22"/>
      <c r="B220" s="22"/>
      <c r="C220" s="27"/>
      <c r="D220" s="22" t="s">
        <v>3243</v>
      </c>
      <c r="E220" s="64">
        <v>30.0</v>
      </c>
      <c r="F220" s="27">
        <v>1.0</v>
      </c>
      <c r="K220" s="49">
        <f t="shared" si="5"/>
        <v>90</v>
      </c>
    </row>
    <row r="221" ht="12.0" customHeight="1">
      <c r="A221" s="22"/>
      <c r="B221" s="56"/>
      <c r="C221" s="27"/>
      <c r="D221" s="60" t="s">
        <v>3244</v>
      </c>
      <c r="E221" s="64">
        <v>40.0</v>
      </c>
      <c r="F221" s="60">
        <v>1.0</v>
      </c>
      <c r="K221" s="49">
        <f t="shared" si="5"/>
        <v>120</v>
      </c>
    </row>
    <row r="222" ht="12.0" customHeight="1">
      <c r="A222" s="22"/>
      <c r="B222" s="56" t="s">
        <v>3245</v>
      </c>
      <c r="C222" s="27"/>
      <c r="D222" s="27"/>
      <c r="E222" s="27"/>
      <c r="F222" s="27"/>
      <c r="K222" s="49"/>
    </row>
    <row r="223" ht="12.0" customHeight="1">
      <c r="A223" s="22"/>
      <c r="B223" s="56"/>
      <c r="C223" s="27"/>
      <c r="D223" s="22" t="s">
        <v>3246</v>
      </c>
      <c r="E223" s="64">
        <v>40.0</v>
      </c>
      <c r="F223" s="27">
        <v>2.0</v>
      </c>
      <c r="K223" s="49">
        <f t="shared" ref="K223:K242" si="6">E223*F223*$J$203</f>
        <v>240</v>
      </c>
    </row>
    <row r="224" ht="12.0" customHeight="1">
      <c r="A224" s="22"/>
      <c r="B224" s="56"/>
      <c r="C224" s="27"/>
      <c r="D224" s="22" t="s">
        <v>3248</v>
      </c>
      <c r="E224" s="64">
        <v>40.0</v>
      </c>
      <c r="F224" s="27">
        <v>2.0</v>
      </c>
      <c r="K224" s="49">
        <f t="shared" si="6"/>
        <v>240</v>
      </c>
    </row>
    <row r="225" ht="12.0" customHeight="1">
      <c r="A225" s="22"/>
      <c r="B225" s="56"/>
      <c r="C225" s="27"/>
      <c r="D225" s="22" t="s">
        <v>3250</v>
      </c>
      <c r="E225" s="64">
        <v>40.0</v>
      </c>
      <c r="F225" s="27">
        <v>2.0</v>
      </c>
      <c r="K225" s="49">
        <f t="shared" si="6"/>
        <v>240</v>
      </c>
    </row>
    <row r="226" ht="12.0" customHeight="1">
      <c r="A226" s="22"/>
      <c r="B226" s="56"/>
      <c r="C226" s="27"/>
      <c r="D226" s="22" t="s">
        <v>3251</v>
      </c>
      <c r="E226" s="64">
        <v>40.0</v>
      </c>
      <c r="F226" s="27">
        <v>2.0</v>
      </c>
      <c r="K226" s="49">
        <f t="shared" si="6"/>
        <v>240</v>
      </c>
    </row>
    <row r="227" ht="12.0" customHeight="1">
      <c r="A227" s="22"/>
      <c r="B227" s="56"/>
      <c r="C227" s="27"/>
      <c r="D227" s="22" t="s">
        <v>3253</v>
      </c>
      <c r="E227" s="64">
        <v>40.0</v>
      </c>
      <c r="F227" s="27">
        <v>2.0</v>
      </c>
      <c r="K227" s="49">
        <f t="shared" si="6"/>
        <v>240</v>
      </c>
    </row>
    <row r="228" ht="12.0" customHeight="1">
      <c r="A228" s="22"/>
      <c r="B228" s="56"/>
      <c r="C228" s="27"/>
      <c r="D228" s="22" t="s">
        <v>3254</v>
      </c>
      <c r="E228" s="64">
        <v>40.0</v>
      </c>
      <c r="F228" s="27">
        <v>2.0</v>
      </c>
      <c r="K228" s="49">
        <f t="shared" si="6"/>
        <v>240</v>
      </c>
    </row>
    <row r="229" ht="12.0" customHeight="1">
      <c r="A229" s="22"/>
      <c r="B229" s="56"/>
      <c r="C229" s="27"/>
      <c r="D229" s="22" t="s">
        <v>3256</v>
      </c>
      <c r="E229" s="64">
        <v>40.0</v>
      </c>
      <c r="F229" s="27">
        <v>2.0</v>
      </c>
      <c r="K229" s="49">
        <f t="shared" si="6"/>
        <v>240</v>
      </c>
    </row>
    <row r="230" ht="12.0" customHeight="1">
      <c r="A230" s="22"/>
      <c r="B230" s="56"/>
      <c r="C230" s="27"/>
      <c r="D230" s="22" t="s">
        <v>3257</v>
      </c>
      <c r="E230" s="64">
        <v>40.0</v>
      </c>
      <c r="F230" s="27">
        <v>2.0</v>
      </c>
      <c r="K230" s="49">
        <f t="shared" si="6"/>
        <v>240</v>
      </c>
    </row>
    <row r="231" ht="12.0" customHeight="1">
      <c r="A231" s="22"/>
      <c r="B231" s="56"/>
      <c r="C231" s="27"/>
      <c r="D231" s="22" t="s">
        <v>3259</v>
      </c>
      <c r="E231" s="64">
        <v>40.0</v>
      </c>
      <c r="F231" s="27">
        <v>2.0</v>
      </c>
      <c r="K231" s="49">
        <f t="shared" si="6"/>
        <v>240</v>
      </c>
    </row>
    <row r="232" ht="12.0" customHeight="1">
      <c r="A232" s="22"/>
      <c r="B232" s="56"/>
      <c r="C232" s="27"/>
      <c r="D232" s="22" t="s">
        <v>3260</v>
      </c>
      <c r="E232" s="64">
        <v>40.0</v>
      </c>
      <c r="F232" s="27">
        <v>2.0</v>
      </c>
      <c r="K232" s="49">
        <f t="shared" si="6"/>
        <v>240</v>
      </c>
    </row>
    <row r="233" ht="12.0" customHeight="1">
      <c r="A233" s="22"/>
      <c r="B233" s="56"/>
      <c r="C233" s="27"/>
      <c r="D233" s="22" t="s">
        <v>3262</v>
      </c>
      <c r="E233" s="64">
        <v>40.0</v>
      </c>
      <c r="F233" s="27">
        <v>2.0</v>
      </c>
      <c r="K233" s="49">
        <f t="shared" si="6"/>
        <v>240</v>
      </c>
    </row>
    <row r="234" ht="12.0" customHeight="1">
      <c r="A234" s="22"/>
      <c r="B234" s="56"/>
      <c r="C234" s="27"/>
      <c r="D234" s="22" t="s">
        <v>3264</v>
      </c>
      <c r="E234" s="64">
        <v>40.0</v>
      </c>
      <c r="F234" s="27">
        <v>2.0</v>
      </c>
      <c r="K234" s="49">
        <f t="shared" si="6"/>
        <v>240</v>
      </c>
    </row>
    <row r="235" ht="12.0" customHeight="1">
      <c r="A235" s="22"/>
      <c r="B235" s="22"/>
      <c r="C235" s="27"/>
      <c r="D235" s="22" t="s">
        <v>3265</v>
      </c>
      <c r="E235" s="64">
        <v>40.0</v>
      </c>
      <c r="F235" s="27">
        <v>2.0</v>
      </c>
      <c r="K235" s="49">
        <f t="shared" si="6"/>
        <v>240</v>
      </c>
    </row>
    <row r="236" ht="12.0" customHeight="1">
      <c r="A236" s="22"/>
      <c r="B236" s="22"/>
      <c r="C236" s="27"/>
      <c r="D236" s="22" t="s">
        <v>3267</v>
      </c>
      <c r="E236" s="64">
        <v>40.0</v>
      </c>
      <c r="F236" s="27">
        <v>2.0</v>
      </c>
      <c r="K236" s="49">
        <f t="shared" si="6"/>
        <v>240</v>
      </c>
    </row>
    <row r="237" ht="12.0" customHeight="1">
      <c r="A237" s="22"/>
      <c r="B237" s="22"/>
      <c r="C237" s="27"/>
      <c r="D237" s="22" t="s">
        <v>3269</v>
      </c>
      <c r="E237" s="64">
        <v>40.0</v>
      </c>
      <c r="F237" s="27">
        <v>2.0</v>
      </c>
      <c r="K237" s="49">
        <f t="shared" si="6"/>
        <v>240</v>
      </c>
    </row>
    <row r="238" ht="12.0" customHeight="1">
      <c r="A238" s="22"/>
      <c r="B238" s="22"/>
      <c r="C238" s="27"/>
      <c r="D238" s="22" t="s">
        <v>3270</v>
      </c>
      <c r="E238" s="64">
        <v>40.0</v>
      </c>
      <c r="F238" s="27">
        <v>2.0</v>
      </c>
      <c r="K238" s="49">
        <f t="shared" si="6"/>
        <v>240</v>
      </c>
    </row>
    <row r="239" ht="12.0" customHeight="1">
      <c r="A239" s="22"/>
      <c r="B239" s="22"/>
      <c r="C239" s="27"/>
      <c r="D239" s="22" t="s">
        <v>3272</v>
      </c>
      <c r="E239" s="64">
        <v>40.0</v>
      </c>
      <c r="F239" s="27">
        <v>2.0</v>
      </c>
      <c r="K239" s="49">
        <f t="shared" si="6"/>
        <v>240</v>
      </c>
    </row>
    <row r="240" ht="12.0" customHeight="1">
      <c r="A240" s="22"/>
      <c r="B240" s="22"/>
      <c r="C240" s="27"/>
      <c r="D240" s="22" t="s">
        <v>3274</v>
      </c>
      <c r="E240" s="64">
        <v>40.0</v>
      </c>
      <c r="F240" s="27">
        <v>2.0</v>
      </c>
      <c r="K240" s="49">
        <f t="shared" si="6"/>
        <v>240</v>
      </c>
    </row>
    <row r="241" ht="12.0" customHeight="1">
      <c r="A241" s="22"/>
      <c r="B241" s="22"/>
      <c r="C241" s="27"/>
      <c r="D241" s="22" t="s">
        <v>3275</v>
      </c>
      <c r="E241" s="64">
        <v>40.0</v>
      </c>
      <c r="F241" s="60">
        <v>2.0</v>
      </c>
      <c r="K241" s="49">
        <f t="shared" si="6"/>
        <v>240</v>
      </c>
    </row>
    <row r="242" ht="12.0" customHeight="1">
      <c r="A242" s="22"/>
      <c r="B242" s="22"/>
      <c r="C242" s="27"/>
      <c r="D242" s="22" t="s">
        <v>3277</v>
      </c>
      <c r="E242" s="64">
        <v>80.0</v>
      </c>
      <c r="F242" s="27">
        <v>3.0</v>
      </c>
      <c r="K242" s="49">
        <f t="shared" si="6"/>
        <v>720</v>
      </c>
    </row>
    <row r="243" ht="12.0" customHeight="1">
      <c r="A243" s="22"/>
      <c r="B243" s="56" t="s">
        <v>3278</v>
      </c>
      <c r="C243" s="27"/>
      <c r="D243" s="27"/>
      <c r="E243" s="27"/>
      <c r="F243" s="27"/>
      <c r="K243" s="49"/>
    </row>
    <row r="244" ht="12.0" customHeight="1">
      <c r="A244" s="22"/>
      <c r="B244" s="22"/>
      <c r="C244" s="27"/>
      <c r="D244" s="22" t="s">
        <v>3280</v>
      </c>
      <c r="E244" s="64">
        <v>30.0</v>
      </c>
      <c r="F244" s="27">
        <v>2.0</v>
      </c>
      <c r="K244" s="49">
        <f t="shared" ref="K244:K258" si="7">E244*F244*$J$203</f>
        <v>180</v>
      </c>
    </row>
    <row r="245" ht="12.0" customHeight="1">
      <c r="A245" s="22"/>
      <c r="B245" s="22"/>
      <c r="C245" s="27"/>
      <c r="D245" s="22" t="s">
        <v>3283</v>
      </c>
      <c r="E245" s="64">
        <v>30.0</v>
      </c>
      <c r="F245" s="27">
        <v>2.0</v>
      </c>
      <c r="K245" s="49">
        <f t="shared" si="7"/>
        <v>180</v>
      </c>
    </row>
    <row r="246" ht="12.0" customHeight="1">
      <c r="A246" s="22"/>
      <c r="B246" s="22"/>
      <c r="C246" s="27"/>
      <c r="D246" s="22" t="s">
        <v>3285</v>
      </c>
      <c r="E246" s="64">
        <v>30.0</v>
      </c>
      <c r="F246" s="27">
        <v>2.0</v>
      </c>
      <c r="K246" s="49">
        <f t="shared" si="7"/>
        <v>180</v>
      </c>
    </row>
    <row r="247" ht="12.0" customHeight="1">
      <c r="A247" s="22"/>
      <c r="B247" s="22"/>
      <c r="C247" s="27"/>
      <c r="D247" s="22" t="s">
        <v>3286</v>
      </c>
      <c r="E247" s="64">
        <v>30.0</v>
      </c>
      <c r="F247" s="27">
        <v>2.0</v>
      </c>
      <c r="K247" s="49">
        <f t="shared" si="7"/>
        <v>180</v>
      </c>
    </row>
    <row r="248" ht="12.0" customHeight="1">
      <c r="A248" s="22"/>
      <c r="B248" s="22"/>
      <c r="C248" s="27"/>
      <c r="D248" s="22" t="s">
        <v>3288</v>
      </c>
      <c r="E248" s="64">
        <v>50.0</v>
      </c>
      <c r="F248" s="27">
        <v>2.0</v>
      </c>
      <c r="K248" s="49">
        <f t="shared" si="7"/>
        <v>300</v>
      </c>
    </row>
    <row r="249" ht="12.0" customHeight="1">
      <c r="A249" s="22"/>
      <c r="B249" s="22"/>
      <c r="C249" s="27"/>
      <c r="D249" s="22" t="s">
        <v>3289</v>
      </c>
      <c r="E249" s="64">
        <v>30.0</v>
      </c>
      <c r="F249" s="27">
        <v>2.0</v>
      </c>
      <c r="K249" s="49">
        <f t="shared" si="7"/>
        <v>180</v>
      </c>
    </row>
    <row r="250" ht="12.0" customHeight="1">
      <c r="A250" s="22"/>
      <c r="B250" s="22"/>
      <c r="C250" s="27"/>
      <c r="D250" s="22" t="s">
        <v>3290</v>
      </c>
      <c r="E250" s="64">
        <v>50.0</v>
      </c>
      <c r="F250" s="27">
        <v>2.0</v>
      </c>
      <c r="K250" s="49">
        <f t="shared" si="7"/>
        <v>300</v>
      </c>
    </row>
    <row r="251" ht="12.0" customHeight="1">
      <c r="A251" s="22"/>
      <c r="B251" s="22"/>
      <c r="C251" s="27"/>
      <c r="D251" s="22" t="s">
        <v>3292</v>
      </c>
      <c r="E251" s="64">
        <v>30.0</v>
      </c>
      <c r="F251" s="27">
        <v>2.0</v>
      </c>
      <c r="K251" s="49">
        <f t="shared" si="7"/>
        <v>180</v>
      </c>
    </row>
    <row r="252" ht="12.0" customHeight="1">
      <c r="A252" s="22"/>
      <c r="B252" s="22"/>
      <c r="C252" s="27"/>
      <c r="D252" s="22" t="s">
        <v>3293</v>
      </c>
      <c r="E252" s="64">
        <v>30.0</v>
      </c>
      <c r="F252" s="27">
        <v>2.0</v>
      </c>
      <c r="K252" s="49">
        <f t="shared" si="7"/>
        <v>180</v>
      </c>
    </row>
    <row r="253" ht="12.0" customHeight="1">
      <c r="A253" s="22"/>
      <c r="B253" s="22"/>
      <c r="C253" s="27"/>
      <c r="D253" s="22" t="s">
        <v>3294</v>
      </c>
      <c r="E253" s="64">
        <v>30.0</v>
      </c>
      <c r="F253" s="27">
        <v>2.0</v>
      </c>
      <c r="K253" s="49">
        <f t="shared" si="7"/>
        <v>180</v>
      </c>
    </row>
    <row r="254" ht="12.0" customHeight="1">
      <c r="A254" s="22"/>
      <c r="B254" s="22"/>
      <c r="C254" s="27"/>
      <c r="D254" s="22" t="s">
        <v>3296</v>
      </c>
      <c r="E254" s="64">
        <v>30.0</v>
      </c>
      <c r="F254" s="27">
        <v>2.0</v>
      </c>
      <c r="K254" s="49">
        <f t="shared" si="7"/>
        <v>180</v>
      </c>
    </row>
    <row r="255" ht="12.0" customHeight="1">
      <c r="A255" s="22"/>
      <c r="B255" s="22"/>
      <c r="C255" s="27"/>
      <c r="D255" s="22" t="s">
        <v>3297</v>
      </c>
      <c r="E255" s="64">
        <v>50.0</v>
      </c>
      <c r="F255" s="27">
        <v>2.0</v>
      </c>
      <c r="K255" s="49">
        <f t="shared" si="7"/>
        <v>300</v>
      </c>
    </row>
    <row r="256" ht="12.0" customHeight="1">
      <c r="A256" s="22"/>
      <c r="B256" s="22"/>
      <c r="C256" s="27"/>
      <c r="D256" s="22" t="s">
        <v>3298</v>
      </c>
      <c r="E256" s="64">
        <v>40.0</v>
      </c>
      <c r="F256" s="27">
        <v>2.0</v>
      </c>
      <c r="K256" s="49">
        <f t="shared" si="7"/>
        <v>240</v>
      </c>
    </row>
    <row r="257" ht="12.0" customHeight="1">
      <c r="A257" s="22"/>
      <c r="B257" s="22"/>
      <c r="C257" s="27"/>
      <c r="D257" s="22" t="s">
        <v>3301</v>
      </c>
      <c r="E257" s="64">
        <v>40.0</v>
      </c>
      <c r="F257" s="27">
        <v>2.0</v>
      </c>
      <c r="K257" s="49">
        <f t="shared" si="7"/>
        <v>240</v>
      </c>
    </row>
    <row r="258" ht="12.0" customHeight="1">
      <c r="A258" s="22"/>
      <c r="B258" s="22"/>
      <c r="C258" s="27"/>
      <c r="D258" s="22" t="s">
        <v>3303</v>
      </c>
      <c r="E258" s="64">
        <v>40.0</v>
      </c>
      <c r="F258" s="27">
        <v>2.0</v>
      </c>
      <c r="K258" s="49">
        <f t="shared" si="7"/>
        <v>240</v>
      </c>
    </row>
    <row r="259" ht="12.0" customHeight="1">
      <c r="A259" s="22"/>
      <c r="B259" s="56" t="s">
        <v>3304</v>
      </c>
      <c r="C259" s="27"/>
      <c r="D259" s="27"/>
      <c r="E259" s="27"/>
      <c r="F259" s="27"/>
      <c r="K259" s="49"/>
    </row>
    <row r="260" ht="12.0" customHeight="1">
      <c r="A260" s="22"/>
      <c r="B260" s="22"/>
      <c r="C260" s="27"/>
      <c r="D260" s="22" t="s">
        <v>3305</v>
      </c>
      <c r="E260" s="64">
        <v>80.0</v>
      </c>
      <c r="F260" s="27">
        <v>3.0</v>
      </c>
      <c r="K260" s="49">
        <f t="shared" ref="K260:K271" si="8">E260*F260*$J$203</f>
        <v>720</v>
      </c>
    </row>
    <row r="261" ht="12.0" customHeight="1">
      <c r="A261" s="22"/>
      <c r="B261" s="22"/>
      <c r="C261" s="27"/>
      <c r="D261" s="22" t="s">
        <v>3307</v>
      </c>
      <c r="E261" s="64">
        <v>80.0</v>
      </c>
      <c r="F261" s="27">
        <v>3.0</v>
      </c>
      <c r="K261" s="49">
        <f t="shared" si="8"/>
        <v>720</v>
      </c>
    </row>
    <row r="262" ht="12.0" customHeight="1">
      <c r="A262" s="22"/>
      <c r="B262" s="22"/>
      <c r="C262" s="27"/>
      <c r="D262" s="22" t="s">
        <v>3309</v>
      </c>
      <c r="E262" s="64">
        <v>80.0</v>
      </c>
      <c r="F262" s="27">
        <v>3.0</v>
      </c>
      <c r="K262" s="49">
        <f t="shared" si="8"/>
        <v>720</v>
      </c>
    </row>
    <row r="263" ht="12.0" customHeight="1">
      <c r="A263" s="22"/>
      <c r="B263" s="22"/>
      <c r="C263" s="27"/>
      <c r="D263" s="22" t="s">
        <v>3310</v>
      </c>
      <c r="E263" s="64">
        <v>60.0</v>
      </c>
      <c r="F263" s="27">
        <v>3.0</v>
      </c>
      <c r="K263" s="49">
        <f t="shared" si="8"/>
        <v>540</v>
      </c>
    </row>
    <row r="264" ht="12.0" customHeight="1">
      <c r="A264" s="22"/>
      <c r="B264" s="22"/>
      <c r="C264" s="27"/>
      <c r="D264" s="22" t="s">
        <v>3312</v>
      </c>
      <c r="E264" s="64">
        <v>80.0</v>
      </c>
      <c r="F264" s="27">
        <v>3.0</v>
      </c>
      <c r="K264" s="49">
        <f t="shared" si="8"/>
        <v>720</v>
      </c>
    </row>
    <row r="265" ht="12.0" customHeight="1">
      <c r="A265" s="22"/>
      <c r="B265" s="22"/>
      <c r="C265" s="27"/>
      <c r="D265" s="22" t="s">
        <v>3313</v>
      </c>
      <c r="E265" s="64">
        <v>80.0</v>
      </c>
      <c r="F265" s="27">
        <v>3.0</v>
      </c>
      <c r="K265" s="49">
        <f t="shared" si="8"/>
        <v>720</v>
      </c>
    </row>
    <row r="266" ht="12.0" customHeight="1">
      <c r="A266" s="22"/>
      <c r="B266" s="22"/>
      <c r="C266" s="27"/>
      <c r="D266" s="22" t="s">
        <v>3315</v>
      </c>
      <c r="E266" s="64">
        <v>80.0</v>
      </c>
      <c r="F266" s="27">
        <v>3.0</v>
      </c>
      <c r="K266" s="49">
        <f t="shared" si="8"/>
        <v>720</v>
      </c>
    </row>
    <row r="267" ht="12.0" customHeight="1">
      <c r="A267" s="22"/>
      <c r="B267" s="22"/>
      <c r="C267" s="27"/>
      <c r="D267" s="22" t="s">
        <v>3316</v>
      </c>
      <c r="E267" s="64">
        <v>60.0</v>
      </c>
      <c r="F267" s="27">
        <v>3.0</v>
      </c>
      <c r="K267" s="49">
        <f t="shared" si="8"/>
        <v>540</v>
      </c>
    </row>
    <row r="268" ht="12.0" customHeight="1">
      <c r="A268" s="22"/>
      <c r="B268" s="22"/>
      <c r="C268" s="27"/>
      <c r="D268" s="22" t="s">
        <v>3318</v>
      </c>
      <c r="E268" s="64">
        <v>80.0</v>
      </c>
      <c r="F268" s="27">
        <v>3.0</v>
      </c>
      <c r="K268" s="49">
        <f t="shared" si="8"/>
        <v>720</v>
      </c>
    </row>
    <row r="269" ht="12.0" customHeight="1">
      <c r="A269" s="22"/>
      <c r="B269" s="22"/>
      <c r="C269" s="27"/>
      <c r="D269" s="22" t="s">
        <v>3320</v>
      </c>
      <c r="E269" s="64">
        <v>80.0</v>
      </c>
      <c r="F269" s="27">
        <v>3.0</v>
      </c>
      <c r="K269" s="49">
        <f t="shared" si="8"/>
        <v>720</v>
      </c>
    </row>
    <row r="270" ht="12.0" customHeight="1">
      <c r="A270" s="22"/>
      <c r="B270" s="22"/>
      <c r="C270" s="27"/>
      <c r="D270" s="22" t="s">
        <v>3321</v>
      </c>
      <c r="E270" s="64">
        <v>80.0</v>
      </c>
      <c r="F270" s="27">
        <v>3.0</v>
      </c>
      <c r="K270" s="49">
        <f t="shared" si="8"/>
        <v>720</v>
      </c>
    </row>
    <row r="271" ht="12.0" customHeight="1">
      <c r="A271" s="22"/>
      <c r="B271" s="22"/>
      <c r="C271" s="27"/>
      <c r="D271" s="22" t="s">
        <v>3322</v>
      </c>
      <c r="E271" s="64">
        <v>60.0</v>
      </c>
      <c r="F271" s="27">
        <v>3.0</v>
      </c>
      <c r="K271" s="49">
        <f t="shared" si="8"/>
        <v>540</v>
      </c>
    </row>
    <row r="272" ht="12.0" customHeight="1">
      <c r="A272" s="22"/>
      <c r="B272" s="56" t="s">
        <v>635</v>
      </c>
      <c r="C272" s="27"/>
      <c r="D272" s="22"/>
      <c r="E272" s="27"/>
      <c r="F272" s="27"/>
      <c r="K272" s="49"/>
    </row>
    <row r="273" ht="12.0" customHeight="1">
      <c r="A273" s="22"/>
      <c r="B273" s="22"/>
      <c r="C273" s="27"/>
      <c r="D273" s="22" t="s">
        <v>3324</v>
      </c>
      <c r="E273" s="64">
        <v>80.0</v>
      </c>
      <c r="F273" s="27">
        <v>3.0</v>
      </c>
      <c r="K273" s="49">
        <f t="shared" ref="K273:K275" si="9">E273*F273*$J$203</f>
        <v>720</v>
      </c>
    </row>
    <row r="274" ht="12.0" customHeight="1">
      <c r="A274" s="22"/>
      <c r="B274" s="22"/>
      <c r="C274" s="27"/>
      <c r="D274" s="22" t="s">
        <v>3326</v>
      </c>
      <c r="E274" s="64">
        <v>80.0</v>
      </c>
      <c r="F274" s="27">
        <v>3.0</v>
      </c>
      <c r="K274" s="49">
        <f t="shared" si="9"/>
        <v>720</v>
      </c>
    </row>
    <row r="275" ht="12.0" customHeight="1">
      <c r="A275" s="22"/>
      <c r="B275" s="22"/>
      <c r="C275" s="27"/>
      <c r="D275" s="22" t="s">
        <v>3327</v>
      </c>
      <c r="E275" s="64">
        <v>80.0</v>
      </c>
      <c r="F275" s="27">
        <v>3.0</v>
      </c>
      <c r="K275" s="49">
        <f t="shared" si="9"/>
        <v>720</v>
      </c>
    </row>
    <row r="277" ht="12.0" customHeight="1">
      <c r="A277" s="22"/>
      <c r="B277" s="56" t="s">
        <v>3329</v>
      </c>
      <c r="C277" s="27"/>
      <c r="D277" s="22"/>
      <c r="E277" s="27"/>
      <c r="F277" s="27"/>
      <c r="K277" s="49"/>
    </row>
    <row r="278" ht="12.0" customHeight="1">
      <c r="A278" s="22"/>
      <c r="B278" s="22"/>
      <c r="C278" s="27"/>
      <c r="D278" s="22" t="s">
        <v>3330</v>
      </c>
      <c r="E278" s="64">
        <v>40.0</v>
      </c>
      <c r="F278" s="27">
        <v>2.0</v>
      </c>
      <c r="K278" s="49">
        <f t="shared" ref="K278:K282" si="10">E278*F278*$J$203</f>
        <v>240</v>
      </c>
    </row>
    <row r="279" ht="12.0" customHeight="1">
      <c r="A279" s="22"/>
      <c r="B279" s="22"/>
      <c r="C279" s="27"/>
      <c r="D279" s="22" t="s">
        <v>3332</v>
      </c>
      <c r="E279" s="64">
        <v>60.0</v>
      </c>
      <c r="F279" s="60">
        <v>3.0</v>
      </c>
      <c r="K279" s="49">
        <f t="shared" si="10"/>
        <v>540</v>
      </c>
    </row>
    <row r="280" ht="12.0" customHeight="1">
      <c r="A280" s="22"/>
      <c r="B280" s="22"/>
      <c r="C280" s="27"/>
      <c r="D280" s="22" t="s">
        <v>3334</v>
      </c>
      <c r="E280" s="64">
        <v>40.0</v>
      </c>
      <c r="F280" s="27">
        <v>2.0</v>
      </c>
      <c r="K280" s="49">
        <f t="shared" si="10"/>
        <v>240</v>
      </c>
    </row>
    <row r="281" ht="12.0" customHeight="1">
      <c r="A281" s="22"/>
      <c r="B281" s="22"/>
      <c r="C281" s="27"/>
      <c r="D281" s="22" t="s">
        <v>3335</v>
      </c>
      <c r="E281" s="64">
        <v>60.0</v>
      </c>
      <c r="F281" s="60">
        <v>3.0</v>
      </c>
      <c r="K281" s="49">
        <f t="shared" si="10"/>
        <v>540</v>
      </c>
    </row>
    <row r="282" ht="12.0" customHeight="1">
      <c r="A282" s="22"/>
      <c r="B282" s="22"/>
      <c r="C282" s="27"/>
      <c r="D282" s="22" t="s">
        <v>3337</v>
      </c>
      <c r="E282" s="64">
        <v>60.0</v>
      </c>
      <c r="F282" s="60">
        <v>3.0</v>
      </c>
      <c r="K282" s="49">
        <f t="shared" si="10"/>
        <v>540</v>
      </c>
    </row>
    <row r="283" ht="12.0" customHeight="1">
      <c r="A283" s="22"/>
      <c r="B283" s="22"/>
      <c r="C283" s="27"/>
      <c r="D283" s="22"/>
      <c r="E283" s="27"/>
      <c r="F283" s="27"/>
      <c r="K283" s="49"/>
    </row>
    <row r="284" ht="12.0" customHeight="1">
      <c r="A284" s="56" t="s">
        <v>3338</v>
      </c>
      <c r="B284" s="56"/>
      <c r="C284" s="27"/>
      <c r="D284" s="27"/>
      <c r="E284" s="27"/>
      <c r="F284" s="27"/>
      <c r="K284" s="49"/>
    </row>
    <row r="285" ht="12.75" customHeight="1">
      <c r="A285" s="22"/>
      <c r="B285" s="22"/>
      <c r="C285" s="22"/>
      <c r="D285" s="22"/>
      <c r="H285" s="57" t="s">
        <v>3340</v>
      </c>
      <c r="J285" s="57" t="s">
        <v>2926</v>
      </c>
      <c r="K285" s="49"/>
    </row>
    <row r="286" ht="12.75" customHeight="1">
      <c r="A286" s="22"/>
      <c r="B286" s="22"/>
      <c r="C286" s="57" t="s">
        <v>2927</v>
      </c>
      <c r="D286" s="57" t="s">
        <v>3342</v>
      </c>
      <c r="E286" s="57" t="s">
        <v>3343</v>
      </c>
      <c r="F286" s="57" t="s">
        <v>3344</v>
      </c>
      <c r="G286" s="57" t="s">
        <v>3345</v>
      </c>
      <c r="H286" s="58">
        <v>500.0</v>
      </c>
      <c r="I286" s="57" t="s">
        <v>12</v>
      </c>
      <c r="J286" s="58">
        <v>1.0</v>
      </c>
      <c r="K286" s="69" t="s">
        <v>22</v>
      </c>
    </row>
    <row r="287" ht="12.0" customHeight="1">
      <c r="A287" s="22"/>
      <c r="B287" s="56" t="s">
        <v>648</v>
      </c>
      <c r="C287" s="22"/>
      <c r="D287" s="22"/>
      <c r="K287" s="49"/>
    </row>
    <row r="288" ht="12.0" customHeight="1">
      <c r="A288" s="22"/>
      <c r="B288" s="22"/>
      <c r="C288" s="27" t="s">
        <v>649</v>
      </c>
      <c r="D288" s="22" t="s">
        <v>3347</v>
      </c>
      <c r="E288" s="22">
        <v>50.0</v>
      </c>
      <c r="F288" s="22">
        <v>65.0</v>
      </c>
      <c r="G288" s="22">
        <v>462.0</v>
      </c>
      <c r="H288" s="22">
        <v>0.5</v>
      </c>
      <c r="I288" s="22">
        <v>1.0</v>
      </c>
      <c r="K288" s="49">
        <f t="shared" ref="K288:K293" si="11">(((E288*F288)/100)+((G288/1500)*0.25)+(H288*$H$286))*I288*$J$286</f>
        <v>282.577</v>
      </c>
    </row>
    <row r="289" ht="12.0" customHeight="1">
      <c r="A289" s="22"/>
      <c r="B289" s="22"/>
      <c r="C289" s="27" t="s">
        <v>651</v>
      </c>
      <c r="D289" s="22" t="s">
        <v>3352</v>
      </c>
      <c r="E289" s="22">
        <v>50.0</v>
      </c>
      <c r="F289" s="22">
        <v>45.0</v>
      </c>
      <c r="G289" s="22">
        <v>462.0</v>
      </c>
      <c r="H289" s="22">
        <v>0.5</v>
      </c>
      <c r="I289" s="22">
        <v>1.0</v>
      </c>
      <c r="K289" s="49">
        <f t="shared" si="11"/>
        <v>272.577</v>
      </c>
    </row>
    <row r="290" ht="12.0" customHeight="1">
      <c r="A290" s="22"/>
      <c r="B290" s="22"/>
      <c r="C290" s="27" t="s">
        <v>654</v>
      </c>
      <c r="D290" s="22" t="s">
        <v>3353</v>
      </c>
      <c r="E290" s="22">
        <v>50.0</v>
      </c>
      <c r="F290" s="22">
        <v>0.0</v>
      </c>
      <c r="G290" s="22">
        <v>600.0</v>
      </c>
      <c r="H290" s="22">
        <v>0.5</v>
      </c>
      <c r="I290" s="22">
        <v>1.0</v>
      </c>
      <c r="K290" s="49">
        <f t="shared" si="11"/>
        <v>250.1</v>
      </c>
    </row>
    <row r="291" ht="12.0" customHeight="1">
      <c r="A291" s="22"/>
      <c r="B291" s="22"/>
      <c r="C291" s="27" t="s">
        <v>656</v>
      </c>
      <c r="D291" s="22" t="s">
        <v>3355</v>
      </c>
      <c r="E291" s="22">
        <v>50.0</v>
      </c>
      <c r="F291" s="22">
        <v>20.0</v>
      </c>
      <c r="G291" s="22">
        <v>231.0</v>
      </c>
      <c r="H291" s="22">
        <v>0.5</v>
      </c>
      <c r="I291" s="22">
        <v>1.0</v>
      </c>
      <c r="K291" s="49">
        <f t="shared" si="11"/>
        <v>260.0385</v>
      </c>
    </row>
    <row r="292" ht="12.0" customHeight="1">
      <c r="A292" s="22"/>
      <c r="B292" s="22"/>
      <c r="C292" s="27" t="s">
        <v>659</v>
      </c>
      <c r="D292" s="22" t="s">
        <v>3357</v>
      </c>
      <c r="E292" s="22">
        <v>50.0</v>
      </c>
      <c r="F292" s="22">
        <v>0.0</v>
      </c>
      <c r="G292" s="22">
        <v>240.0</v>
      </c>
      <c r="H292" s="22">
        <v>0.5</v>
      </c>
      <c r="I292" s="22">
        <v>1.0</v>
      </c>
      <c r="K292" s="49">
        <f t="shared" si="11"/>
        <v>250.04</v>
      </c>
    </row>
    <row r="293" ht="12.0" customHeight="1">
      <c r="A293" s="22"/>
      <c r="B293" s="22"/>
      <c r="C293" s="27" t="s">
        <v>661</v>
      </c>
      <c r="D293" s="22" t="s">
        <v>3359</v>
      </c>
      <c r="E293" s="22">
        <v>50.0</v>
      </c>
      <c r="F293" s="22">
        <v>0.0</v>
      </c>
      <c r="G293" s="22">
        <v>600.0</v>
      </c>
      <c r="H293" s="22">
        <v>0.5</v>
      </c>
      <c r="I293" s="22">
        <v>1.0</v>
      </c>
      <c r="K293" s="49">
        <f t="shared" si="11"/>
        <v>250.1</v>
      </c>
    </row>
    <row r="294" ht="12.0" customHeight="1">
      <c r="A294" s="22"/>
      <c r="B294" s="56" t="s">
        <v>3360</v>
      </c>
      <c r="C294" s="22"/>
      <c r="D294" s="22"/>
      <c r="K294" s="49"/>
    </row>
    <row r="295" ht="12.0" customHeight="1">
      <c r="A295" s="22"/>
      <c r="B295" s="22"/>
      <c r="C295" s="27" t="s">
        <v>676</v>
      </c>
      <c r="D295" s="22" t="s">
        <v>3361</v>
      </c>
      <c r="E295" s="22">
        <v>350.0</v>
      </c>
      <c r="F295" s="22">
        <v>65.0</v>
      </c>
      <c r="G295" s="22">
        <v>1101.0</v>
      </c>
      <c r="H295" s="22">
        <v>0.75</v>
      </c>
      <c r="I295" s="22">
        <v>1.0</v>
      </c>
      <c r="K295" s="49">
        <f t="shared" ref="K295:K297" si="12">(((E295*F295)/100)+((G295/1500)*0.25)+(H295*$H$286))*I295*$J$286</f>
        <v>602.6835</v>
      </c>
    </row>
    <row r="296" ht="12.0" customHeight="1">
      <c r="A296" s="22"/>
      <c r="B296" s="22"/>
      <c r="C296" s="27" t="s">
        <v>679</v>
      </c>
      <c r="D296" s="22" t="s">
        <v>3365</v>
      </c>
      <c r="E296" s="22">
        <v>150.0</v>
      </c>
      <c r="F296" s="22">
        <v>80.0</v>
      </c>
      <c r="G296" s="22">
        <v>1200.0</v>
      </c>
      <c r="H296" s="22">
        <v>0.75</v>
      </c>
      <c r="I296" s="22">
        <v>1.0</v>
      </c>
      <c r="K296" s="49">
        <f t="shared" si="12"/>
        <v>495.2</v>
      </c>
    </row>
    <row r="297" ht="12.0" customHeight="1">
      <c r="A297" s="22"/>
      <c r="B297" s="22"/>
      <c r="C297" s="27" t="s">
        <v>681</v>
      </c>
      <c r="D297" s="22" t="s">
        <v>3367</v>
      </c>
      <c r="E297" s="22">
        <v>150.0</v>
      </c>
      <c r="F297" s="22">
        <v>85.0</v>
      </c>
      <c r="G297" s="22">
        <v>1101.0</v>
      </c>
      <c r="H297" s="22">
        <v>0.75</v>
      </c>
      <c r="I297" s="22">
        <v>1.0</v>
      </c>
      <c r="K297" s="49">
        <f t="shared" si="12"/>
        <v>502.6835</v>
      </c>
    </row>
    <row r="298" ht="12.0" customHeight="1">
      <c r="A298" s="22"/>
      <c r="B298" s="56" t="s">
        <v>3369</v>
      </c>
      <c r="C298" s="22"/>
      <c r="D298" s="22"/>
      <c r="K298" s="49"/>
    </row>
    <row r="299" ht="12.0" customHeight="1">
      <c r="A299" s="22"/>
      <c r="B299" s="22"/>
      <c r="C299" s="27" t="s">
        <v>686</v>
      </c>
      <c r="D299" s="22" t="s">
        <v>3370</v>
      </c>
      <c r="E299" s="22">
        <v>900.0</v>
      </c>
      <c r="F299" s="22">
        <v>90.0</v>
      </c>
      <c r="G299" s="22">
        <v>625.0</v>
      </c>
      <c r="H299" s="22">
        <v>1.25</v>
      </c>
      <c r="I299" s="22">
        <v>2.0</v>
      </c>
      <c r="K299" s="49">
        <f t="shared" ref="K299:K307" si="13">(((E299*F299)/100)+((G299/1500)*0.25)+(H299*$H$286))*I299*$J$286</f>
        <v>2870.208333</v>
      </c>
    </row>
    <row r="300" ht="12.0" customHeight="1">
      <c r="A300" s="22"/>
      <c r="B300" s="22"/>
      <c r="C300" s="27" t="s">
        <v>704</v>
      </c>
      <c r="D300" s="22" t="s">
        <v>3373</v>
      </c>
      <c r="E300" s="22">
        <v>900.0</v>
      </c>
      <c r="F300" s="22">
        <v>90.0</v>
      </c>
      <c r="G300" s="22">
        <v>625.0</v>
      </c>
      <c r="H300" s="22">
        <v>1.25</v>
      </c>
      <c r="I300" s="22">
        <v>2.0</v>
      </c>
      <c r="K300" s="49">
        <f t="shared" si="13"/>
        <v>2870.208333</v>
      </c>
    </row>
    <row r="301" ht="12.0" customHeight="1">
      <c r="A301" s="22"/>
      <c r="B301" s="22"/>
      <c r="C301" s="27" t="s">
        <v>705</v>
      </c>
      <c r="D301" s="22" t="s">
        <v>3375</v>
      </c>
      <c r="E301" s="22">
        <v>900.0</v>
      </c>
      <c r="F301" s="22">
        <v>85.0</v>
      </c>
      <c r="G301" s="22">
        <v>800.0</v>
      </c>
      <c r="H301" s="22">
        <v>1.5</v>
      </c>
      <c r="I301" s="22">
        <v>2.0</v>
      </c>
      <c r="K301" s="49">
        <f t="shared" si="13"/>
        <v>3030.266667</v>
      </c>
    </row>
    <row r="302" ht="12.0" customHeight="1">
      <c r="A302" s="22"/>
      <c r="B302" s="22"/>
      <c r="C302" s="27" t="s">
        <v>707</v>
      </c>
      <c r="D302" s="22" t="s">
        <v>3377</v>
      </c>
      <c r="E302" s="22">
        <v>1600.0</v>
      </c>
      <c r="F302" s="22">
        <v>70.0</v>
      </c>
      <c r="G302" s="22">
        <v>1500.0</v>
      </c>
      <c r="H302" s="36">
        <v>1.75</v>
      </c>
      <c r="I302" s="22">
        <v>3.0</v>
      </c>
      <c r="K302" s="49">
        <f t="shared" si="13"/>
        <v>5985.75</v>
      </c>
    </row>
    <row r="303" ht="12.0" customHeight="1">
      <c r="A303" s="22"/>
      <c r="B303" s="22"/>
      <c r="C303" s="27" t="s">
        <v>709</v>
      </c>
      <c r="D303" s="22" t="s">
        <v>3378</v>
      </c>
      <c r="E303" s="22">
        <v>1600.0</v>
      </c>
      <c r="F303" s="22">
        <v>70.0</v>
      </c>
      <c r="G303" s="22">
        <v>1500.0</v>
      </c>
      <c r="H303" s="36">
        <v>1.75</v>
      </c>
      <c r="I303" s="22">
        <v>3.0</v>
      </c>
      <c r="K303" s="49">
        <f t="shared" si="13"/>
        <v>5985.75</v>
      </c>
    </row>
    <row r="304" ht="12.0" customHeight="1">
      <c r="A304" s="22"/>
      <c r="B304" s="22"/>
      <c r="C304" s="27" t="s">
        <v>713</v>
      </c>
      <c r="D304" s="22" t="s">
        <v>3380</v>
      </c>
      <c r="E304" s="22">
        <v>2000.0</v>
      </c>
      <c r="F304" s="22">
        <v>90.0</v>
      </c>
      <c r="G304" s="22">
        <v>500.0</v>
      </c>
      <c r="H304" s="22">
        <v>1.75</v>
      </c>
      <c r="I304" s="22">
        <v>3.0</v>
      </c>
      <c r="K304" s="49">
        <f t="shared" si="13"/>
        <v>8025.25</v>
      </c>
    </row>
    <row r="305" ht="12.0" customHeight="1">
      <c r="A305" s="22"/>
      <c r="B305" s="22"/>
      <c r="C305" s="27" t="s">
        <v>715</v>
      </c>
      <c r="D305" s="22" t="s">
        <v>3381</v>
      </c>
      <c r="E305" s="22">
        <v>2000.0</v>
      </c>
      <c r="F305" s="22">
        <v>90.0</v>
      </c>
      <c r="G305" s="22">
        <v>500.0</v>
      </c>
      <c r="H305" s="22">
        <v>1.75</v>
      </c>
      <c r="I305" s="22">
        <v>3.0</v>
      </c>
      <c r="K305" s="49">
        <f t="shared" si="13"/>
        <v>8025.25</v>
      </c>
    </row>
    <row r="306" ht="12.0" customHeight="1">
      <c r="A306" s="22"/>
      <c r="B306" s="22"/>
      <c r="C306" s="27" t="s">
        <v>717</v>
      </c>
      <c r="D306" s="22" t="s">
        <v>3383</v>
      </c>
      <c r="E306" s="22">
        <v>2000.0</v>
      </c>
      <c r="F306" s="22">
        <v>90.0</v>
      </c>
      <c r="G306" s="22">
        <v>500.0</v>
      </c>
      <c r="H306" s="22">
        <v>1.75</v>
      </c>
      <c r="I306" s="22">
        <v>3.0</v>
      </c>
      <c r="K306" s="49">
        <f t="shared" si="13"/>
        <v>8025.25</v>
      </c>
    </row>
    <row r="307" ht="12.0" customHeight="1">
      <c r="A307" s="22"/>
      <c r="B307" s="22"/>
      <c r="C307" s="27" t="s">
        <v>720</v>
      </c>
      <c r="D307" s="22" t="s">
        <v>3384</v>
      </c>
      <c r="E307" s="22">
        <v>1000.0</v>
      </c>
      <c r="F307" s="22">
        <v>80.0</v>
      </c>
      <c r="G307" s="22">
        <v>953.0</v>
      </c>
      <c r="H307" s="22">
        <v>1.5</v>
      </c>
      <c r="I307" s="22">
        <v>2.0</v>
      </c>
      <c r="K307" s="49">
        <f t="shared" si="13"/>
        <v>3100.317667</v>
      </c>
    </row>
    <row r="308" ht="12.0" customHeight="1">
      <c r="A308" s="22"/>
      <c r="B308" s="56" t="s">
        <v>3386</v>
      </c>
      <c r="C308" s="22"/>
      <c r="D308" s="22"/>
      <c r="K308" s="49"/>
    </row>
    <row r="309" ht="12.0" customHeight="1">
      <c r="A309" s="22"/>
      <c r="B309" s="22"/>
      <c r="C309" s="27" t="s">
        <v>749</v>
      </c>
      <c r="D309" s="22" t="s">
        <v>3387</v>
      </c>
      <c r="E309" s="22">
        <v>800.0</v>
      </c>
      <c r="F309" s="22">
        <v>80.0</v>
      </c>
      <c r="G309" s="22">
        <v>800.0</v>
      </c>
      <c r="H309" s="22">
        <v>0.0</v>
      </c>
      <c r="I309" s="22">
        <v>1.0</v>
      </c>
      <c r="K309" s="49">
        <f t="shared" ref="K309:K327" si="14">(((E309*F309)/100)+((G309/1500)*0.25)+(H309*$H$286))*I309*$J$286</f>
        <v>640.1333333</v>
      </c>
    </row>
    <row r="310" ht="12.0" customHeight="1">
      <c r="A310" s="22"/>
      <c r="B310" s="22"/>
      <c r="C310" s="27" t="s">
        <v>754</v>
      </c>
      <c r="D310" s="22" t="s">
        <v>3393</v>
      </c>
      <c r="E310" s="22">
        <v>800.0</v>
      </c>
      <c r="F310" s="22">
        <v>80.0</v>
      </c>
      <c r="G310" s="22">
        <v>800.0</v>
      </c>
      <c r="H310" s="22">
        <v>0.0</v>
      </c>
      <c r="I310" s="22">
        <v>1.0</v>
      </c>
      <c r="K310" s="49">
        <f t="shared" si="14"/>
        <v>640.1333333</v>
      </c>
    </row>
    <row r="311" ht="12.0" customHeight="1">
      <c r="A311" s="22"/>
      <c r="B311" s="22"/>
      <c r="C311" s="27" t="s">
        <v>757</v>
      </c>
      <c r="D311" s="22" t="s">
        <v>3395</v>
      </c>
      <c r="E311" s="22">
        <v>800.0</v>
      </c>
      <c r="F311" s="22">
        <v>80.0</v>
      </c>
      <c r="G311" s="22">
        <v>800.0</v>
      </c>
      <c r="H311" s="22">
        <v>1.0</v>
      </c>
      <c r="I311" s="22">
        <v>1.0</v>
      </c>
      <c r="K311" s="49">
        <f t="shared" si="14"/>
        <v>1140.133333</v>
      </c>
    </row>
    <row r="312" ht="12.0" customHeight="1">
      <c r="A312" s="22"/>
      <c r="B312" s="22"/>
      <c r="C312" s="27" t="s">
        <v>759</v>
      </c>
      <c r="D312" s="22" t="s">
        <v>3397</v>
      </c>
      <c r="E312" s="22">
        <v>700.0</v>
      </c>
      <c r="F312" s="22">
        <v>80.0</v>
      </c>
      <c r="G312" s="22">
        <v>858.0</v>
      </c>
      <c r="H312" s="22">
        <v>0.0</v>
      </c>
      <c r="I312" s="22">
        <v>1.0</v>
      </c>
      <c r="K312" s="49">
        <f t="shared" si="14"/>
        <v>560.143</v>
      </c>
    </row>
    <row r="313" ht="12.0" customHeight="1">
      <c r="A313" s="22"/>
      <c r="B313" s="22"/>
      <c r="C313" s="27" t="s">
        <v>762</v>
      </c>
      <c r="D313" s="22" t="s">
        <v>3399</v>
      </c>
      <c r="E313" s="22">
        <v>700.0</v>
      </c>
      <c r="F313" s="22">
        <v>80.0</v>
      </c>
      <c r="G313" s="22">
        <v>858.0</v>
      </c>
      <c r="H313" s="22">
        <v>1.0</v>
      </c>
      <c r="I313" s="22">
        <v>1.0</v>
      </c>
      <c r="K313" s="49">
        <f t="shared" si="14"/>
        <v>1060.143</v>
      </c>
    </row>
    <row r="314" ht="12.0" customHeight="1">
      <c r="A314" s="22"/>
      <c r="B314" s="22"/>
      <c r="C314" s="27" t="s">
        <v>769</v>
      </c>
      <c r="D314" s="22" t="s">
        <v>3401</v>
      </c>
      <c r="E314" s="22">
        <v>700.0</v>
      </c>
      <c r="F314" s="22">
        <v>80.0</v>
      </c>
      <c r="G314" s="22">
        <v>858.0</v>
      </c>
      <c r="H314" s="22">
        <v>1.0</v>
      </c>
      <c r="I314" s="22">
        <v>1.0</v>
      </c>
      <c r="K314" s="49">
        <f t="shared" si="14"/>
        <v>1060.143</v>
      </c>
    </row>
    <row r="315" ht="12.0" customHeight="1">
      <c r="A315" s="22"/>
      <c r="B315" s="22"/>
      <c r="C315" s="27" t="s">
        <v>773</v>
      </c>
      <c r="D315" s="22" t="s">
        <v>3402</v>
      </c>
      <c r="E315" s="22">
        <v>700.0</v>
      </c>
      <c r="F315" s="22">
        <v>80.0</v>
      </c>
      <c r="G315" s="22">
        <v>858.0</v>
      </c>
      <c r="H315" s="22">
        <v>0.0</v>
      </c>
      <c r="I315" s="22">
        <v>1.0</v>
      </c>
      <c r="K315" s="49">
        <f t="shared" si="14"/>
        <v>560.143</v>
      </c>
    </row>
    <row r="316" ht="12.0" customHeight="1">
      <c r="A316" s="22"/>
      <c r="B316" s="22"/>
      <c r="C316" s="27" t="s">
        <v>776</v>
      </c>
      <c r="D316" s="22" t="s">
        <v>3404</v>
      </c>
      <c r="E316" s="22">
        <v>700.0</v>
      </c>
      <c r="F316" s="22">
        <v>80.0</v>
      </c>
      <c r="G316" s="22">
        <v>858.0</v>
      </c>
      <c r="H316" s="22">
        <v>0.0</v>
      </c>
      <c r="I316" s="22">
        <v>1.0</v>
      </c>
      <c r="K316" s="49">
        <f t="shared" si="14"/>
        <v>560.143</v>
      </c>
    </row>
    <row r="317" ht="12.0" customHeight="1">
      <c r="A317" s="22"/>
      <c r="B317" s="22"/>
      <c r="C317" s="27" t="s">
        <v>776</v>
      </c>
      <c r="D317" s="22" t="s">
        <v>3406</v>
      </c>
      <c r="E317" s="22">
        <v>700.0</v>
      </c>
      <c r="F317" s="22">
        <v>80.0</v>
      </c>
      <c r="G317" s="22">
        <v>858.0</v>
      </c>
      <c r="H317" s="22">
        <v>0.0</v>
      </c>
      <c r="I317" s="22">
        <v>1.0</v>
      </c>
      <c r="K317" s="49">
        <f t="shared" si="14"/>
        <v>560.143</v>
      </c>
    </row>
    <row r="318" ht="12.0" customHeight="1">
      <c r="A318" s="22"/>
      <c r="B318" s="22"/>
      <c r="C318" s="27" t="s">
        <v>779</v>
      </c>
      <c r="D318" s="22" t="s">
        <v>3407</v>
      </c>
      <c r="E318" s="22">
        <v>700.0</v>
      </c>
      <c r="F318" s="22">
        <v>90.0</v>
      </c>
      <c r="G318" s="22">
        <v>625.0</v>
      </c>
      <c r="H318" s="22">
        <v>0.0</v>
      </c>
      <c r="I318" s="22">
        <v>1.0</v>
      </c>
      <c r="K318" s="49">
        <f t="shared" si="14"/>
        <v>630.1041667</v>
      </c>
    </row>
    <row r="319" ht="12.0" customHeight="1">
      <c r="A319" s="22"/>
      <c r="B319" s="22"/>
      <c r="C319" s="27" t="s">
        <v>783</v>
      </c>
      <c r="D319" s="22" t="s">
        <v>3409</v>
      </c>
      <c r="E319" s="22">
        <v>700.0</v>
      </c>
      <c r="F319" s="22">
        <v>90.0</v>
      </c>
      <c r="G319" s="22">
        <v>625.0</v>
      </c>
      <c r="H319" s="22">
        <v>0.0</v>
      </c>
      <c r="I319" s="22">
        <v>1.0</v>
      </c>
      <c r="K319" s="49">
        <f t="shared" si="14"/>
        <v>630.1041667</v>
      </c>
    </row>
    <row r="320" ht="12.0" customHeight="1">
      <c r="A320" s="22"/>
      <c r="B320" s="22"/>
      <c r="C320" s="27" t="s">
        <v>786</v>
      </c>
      <c r="D320" s="22" t="s">
        <v>3411</v>
      </c>
      <c r="E320" s="22">
        <v>700.0</v>
      </c>
      <c r="F320" s="22">
        <v>90.0</v>
      </c>
      <c r="G320" s="22">
        <v>625.0</v>
      </c>
      <c r="H320" s="22">
        <v>1.0</v>
      </c>
      <c r="I320" s="22">
        <v>1.0</v>
      </c>
      <c r="K320" s="49">
        <f t="shared" si="14"/>
        <v>1130.104167</v>
      </c>
    </row>
    <row r="321" ht="12.0" customHeight="1">
      <c r="A321" s="22"/>
      <c r="B321" s="22"/>
      <c r="C321" s="27" t="s">
        <v>787</v>
      </c>
      <c r="D321" s="22" t="s">
        <v>3412</v>
      </c>
      <c r="E321" s="22">
        <v>700.0</v>
      </c>
      <c r="F321" s="22">
        <v>90.0</v>
      </c>
      <c r="G321" s="22">
        <v>625.0</v>
      </c>
      <c r="H321" s="22">
        <v>1.0</v>
      </c>
      <c r="I321" s="22">
        <v>1.0</v>
      </c>
      <c r="K321" s="49">
        <f t="shared" si="14"/>
        <v>1130.104167</v>
      </c>
    </row>
    <row r="322" ht="12.0" customHeight="1">
      <c r="A322" s="22"/>
      <c r="B322" s="22"/>
      <c r="C322" s="27" t="s">
        <v>790</v>
      </c>
      <c r="D322" s="22" t="s">
        <v>3414</v>
      </c>
      <c r="E322" s="22">
        <v>700.0</v>
      </c>
      <c r="F322" s="22">
        <v>90.0</v>
      </c>
      <c r="G322" s="22">
        <v>625.0</v>
      </c>
      <c r="H322" s="22">
        <v>0.0</v>
      </c>
      <c r="I322" s="22">
        <v>1.0</v>
      </c>
      <c r="K322" s="49">
        <f t="shared" si="14"/>
        <v>630.1041667</v>
      </c>
    </row>
    <row r="323" ht="12.0" customHeight="1">
      <c r="A323" s="22"/>
      <c r="B323" s="22"/>
      <c r="C323" s="27" t="s">
        <v>792</v>
      </c>
      <c r="D323" s="22" t="s">
        <v>3417</v>
      </c>
      <c r="E323" s="22">
        <v>700.0</v>
      </c>
      <c r="F323" s="22">
        <v>90.0</v>
      </c>
      <c r="G323" s="22">
        <v>625.0</v>
      </c>
      <c r="H323" s="22">
        <v>0.0</v>
      </c>
      <c r="I323" s="22">
        <v>1.0</v>
      </c>
      <c r="K323" s="49">
        <f t="shared" si="14"/>
        <v>630.1041667</v>
      </c>
    </row>
    <row r="324" ht="12.0" customHeight="1">
      <c r="A324" s="22"/>
      <c r="B324" s="22"/>
      <c r="C324" s="27" t="s">
        <v>798</v>
      </c>
      <c r="D324" s="22" t="s">
        <v>3419</v>
      </c>
      <c r="E324" s="22">
        <v>35.0</v>
      </c>
      <c r="F324" s="22">
        <v>75.0</v>
      </c>
      <c r="G324" s="22">
        <v>750.0</v>
      </c>
      <c r="H324" s="22">
        <v>1.0</v>
      </c>
      <c r="I324" s="22">
        <v>1.0</v>
      </c>
      <c r="K324" s="49">
        <f t="shared" si="14"/>
        <v>526.375</v>
      </c>
    </row>
    <row r="325" ht="12.0" customHeight="1">
      <c r="A325" s="22"/>
      <c r="B325" s="22"/>
      <c r="C325" s="27" t="s">
        <v>802</v>
      </c>
      <c r="D325" s="22" t="s">
        <v>3421</v>
      </c>
      <c r="E325" s="22">
        <v>600.0</v>
      </c>
      <c r="F325" s="22">
        <v>75.0</v>
      </c>
      <c r="G325" s="22">
        <v>750.0</v>
      </c>
      <c r="H325" s="22">
        <v>0.0</v>
      </c>
      <c r="I325" s="22">
        <v>1.0</v>
      </c>
      <c r="K325" s="49">
        <f t="shared" si="14"/>
        <v>450.125</v>
      </c>
    </row>
    <row r="326" ht="12.0" customHeight="1">
      <c r="A326" s="22"/>
      <c r="B326" s="22"/>
      <c r="C326" s="27" t="s">
        <v>804</v>
      </c>
      <c r="D326" s="22" t="s">
        <v>3422</v>
      </c>
      <c r="E326" s="22">
        <v>700.0</v>
      </c>
      <c r="F326" s="22">
        <v>85.0</v>
      </c>
      <c r="G326" s="22">
        <v>750.0</v>
      </c>
      <c r="H326" s="22">
        <v>0.0</v>
      </c>
      <c r="I326" s="22">
        <v>1.0</v>
      </c>
      <c r="K326" s="49">
        <f t="shared" si="14"/>
        <v>595.125</v>
      </c>
    </row>
    <row r="327" ht="12.0" customHeight="1">
      <c r="A327" s="22"/>
      <c r="B327" s="22"/>
      <c r="C327" s="27" t="s">
        <v>809</v>
      </c>
      <c r="D327" s="22" t="s">
        <v>3424</v>
      </c>
      <c r="E327" s="22">
        <v>700.0</v>
      </c>
      <c r="F327" s="22">
        <v>85.0</v>
      </c>
      <c r="G327" s="22">
        <v>750.0</v>
      </c>
      <c r="H327" s="22">
        <v>1.0</v>
      </c>
      <c r="I327" s="22">
        <v>1.0</v>
      </c>
      <c r="K327" s="49">
        <f t="shared" si="14"/>
        <v>1095.125</v>
      </c>
    </row>
    <row r="328" ht="12.0" customHeight="1">
      <c r="A328" s="22"/>
      <c r="B328" s="56" t="s">
        <v>3425</v>
      </c>
      <c r="C328" s="22"/>
      <c r="D328" s="22"/>
      <c r="K328" s="49"/>
    </row>
    <row r="329" ht="12.0" customHeight="1">
      <c r="A329" s="22"/>
      <c r="B329" s="22"/>
      <c r="C329" s="27" t="s">
        <v>1006</v>
      </c>
      <c r="D329" s="22" t="s">
        <v>3427</v>
      </c>
      <c r="E329" s="22">
        <v>800.0</v>
      </c>
      <c r="F329" s="22">
        <v>90.0</v>
      </c>
      <c r="G329" s="22">
        <v>625.0</v>
      </c>
      <c r="H329" s="22">
        <v>1.25</v>
      </c>
      <c r="I329" s="22">
        <v>1.0</v>
      </c>
      <c r="K329" s="49">
        <f t="shared" ref="K329:K351" si="15">(((E329*F329)/100)+((G329/1500)*0.25)+(H329*$H$286))*I329*$J$286</f>
        <v>1345.104167</v>
      </c>
    </row>
    <row r="330" ht="12.0" customHeight="1">
      <c r="A330" s="22"/>
      <c r="B330" s="22"/>
      <c r="C330" s="27" t="s">
        <v>1008</v>
      </c>
      <c r="D330" s="22" t="s">
        <v>3431</v>
      </c>
      <c r="E330" s="22">
        <v>800.0</v>
      </c>
      <c r="F330" s="22">
        <v>90.0</v>
      </c>
      <c r="G330" s="22">
        <v>625.0</v>
      </c>
      <c r="H330" s="22">
        <v>1.25</v>
      </c>
      <c r="I330" s="22">
        <v>1.0</v>
      </c>
      <c r="K330" s="49">
        <f t="shared" si="15"/>
        <v>1345.104167</v>
      </c>
    </row>
    <row r="331" ht="12.0" customHeight="1">
      <c r="A331" s="22"/>
      <c r="B331" s="22"/>
      <c r="C331" s="27" t="s">
        <v>1010</v>
      </c>
      <c r="D331" s="22" t="s">
        <v>3433</v>
      </c>
      <c r="E331" s="22">
        <v>1000.0</v>
      </c>
      <c r="F331" s="22">
        <v>95.0</v>
      </c>
      <c r="G331" s="22">
        <v>698.0</v>
      </c>
      <c r="H331" s="22">
        <v>1.5</v>
      </c>
      <c r="I331" s="22">
        <v>1.0</v>
      </c>
      <c r="K331" s="49">
        <f t="shared" si="15"/>
        <v>1700.116333</v>
      </c>
    </row>
    <row r="332" ht="12.0" customHeight="1">
      <c r="A332" s="22"/>
      <c r="B332" s="22"/>
      <c r="C332" s="27" t="s">
        <v>1012</v>
      </c>
      <c r="D332" s="22" t="s">
        <v>3435</v>
      </c>
      <c r="E332" s="22">
        <v>1000.0</v>
      </c>
      <c r="F332" s="22">
        <v>98.0</v>
      </c>
      <c r="G332" s="22">
        <v>250.0</v>
      </c>
      <c r="H332" s="36">
        <v>1.75</v>
      </c>
      <c r="I332" s="22">
        <v>2.0</v>
      </c>
      <c r="K332" s="49">
        <f t="shared" si="15"/>
        <v>3710.083333</v>
      </c>
    </row>
    <row r="333" ht="12.0" customHeight="1">
      <c r="A333" s="22"/>
      <c r="B333" s="22"/>
      <c r="C333" s="27" t="s">
        <v>1014</v>
      </c>
      <c r="D333" s="22" t="s">
        <v>3436</v>
      </c>
      <c r="E333" s="22">
        <v>1000.0</v>
      </c>
      <c r="F333" s="22">
        <v>98.0</v>
      </c>
      <c r="G333" s="22">
        <v>250.0</v>
      </c>
      <c r="H333" s="36">
        <v>1.75</v>
      </c>
      <c r="I333" s="22">
        <v>2.0</v>
      </c>
      <c r="K333" s="49">
        <f t="shared" si="15"/>
        <v>3710.083333</v>
      </c>
    </row>
    <row r="334" ht="12.0" customHeight="1">
      <c r="A334" s="22"/>
      <c r="B334" s="22"/>
      <c r="C334" s="27" t="s">
        <v>1016</v>
      </c>
      <c r="D334" s="22" t="s">
        <v>3438</v>
      </c>
      <c r="E334" s="22">
        <v>1000.0</v>
      </c>
      <c r="F334" s="22">
        <v>98.0</v>
      </c>
      <c r="G334" s="22">
        <v>250.0</v>
      </c>
      <c r="H334" s="36">
        <v>1.75</v>
      </c>
      <c r="I334" s="22">
        <v>2.0</v>
      </c>
      <c r="K334" s="49">
        <f t="shared" si="15"/>
        <v>3710.083333</v>
      </c>
    </row>
    <row r="335" ht="12.0" customHeight="1">
      <c r="A335" s="22"/>
      <c r="B335" s="22"/>
      <c r="C335" s="27" t="s">
        <v>1018</v>
      </c>
      <c r="D335" s="22" t="s">
        <v>3440</v>
      </c>
      <c r="E335" s="22">
        <v>1000.0</v>
      </c>
      <c r="F335" s="22">
        <v>95.0</v>
      </c>
      <c r="G335" s="22">
        <v>600.0</v>
      </c>
      <c r="H335" s="22">
        <v>1.5</v>
      </c>
      <c r="I335" s="22">
        <v>2.0</v>
      </c>
      <c r="K335" s="49">
        <f t="shared" si="15"/>
        <v>3400.2</v>
      </c>
    </row>
    <row r="336" ht="12.0" customHeight="1">
      <c r="A336" s="22"/>
      <c r="B336" s="22"/>
      <c r="C336" s="27" t="s">
        <v>1020</v>
      </c>
      <c r="D336" s="22" t="s">
        <v>3442</v>
      </c>
      <c r="E336" s="22">
        <v>1000.0</v>
      </c>
      <c r="F336" s="22">
        <v>95.0</v>
      </c>
      <c r="G336" s="22">
        <v>600.0</v>
      </c>
      <c r="H336" s="22">
        <v>1.5</v>
      </c>
      <c r="I336" s="22">
        <v>2.0</v>
      </c>
      <c r="K336" s="49">
        <f t="shared" si="15"/>
        <v>3400.2</v>
      </c>
    </row>
    <row r="337" ht="12.0" customHeight="1">
      <c r="A337" s="22"/>
      <c r="B337" s="22"/>
      <c r="C337" s="27" t="s">
        <v>1022</v>
      </c>
      <c r="D337" s="22" t="s">
        <v>3444</v>
      </c>
      <c r="E337" s="22">
        <v>1000.0</v>
      </c>
      <c r="F337" s="22">
        <v>95.0</v>
      </c>
      <c r="G337" s="22">
        <v>600.0</v>
      </c>
      <c r="H337" s="22">
        <v>1.5</v>
      </c>
      <c r="I337" s="22">
        <v>2.0</v>
      </c>
      <c r="K337" s="49">
        <f t="shared" si="15"/>
        <v>3400.2</v>
      </c>
    </row>
    <row r="338" ht="12.0" customHeight="1">
      <c r="A338" s="22"/>
      <c r="B338" s="22"/>
      <c r="C338" s="27" t="s">
        <v>1026</v>
      </c>
      <c r="D338" s="22" t="s">
        <v>3445</v>
      </c>
      <c r="E338" s="22">
        <v>1000.0</v>
      </c>
      <c r="F338" s="22">
        <v>95.0</v>
      </c>
      <c r="G338" s="22">
        <v>600.0</v>
      </c>
      <c r="H338" s="22">
        <v>1.5</v>
      </c>
      <c r="I338" s="22">
        <v>2.0</v>
      </c>
      <c r="K338" s="49">
        <f t="shared" si="15"/>
        <v>3400.2</v>
      </c>
    </row>
    <row r="339" ht="12.0" customHeight="1">
      <c r="A339" s="22"/>
      <c r="B339" s="22"/>
      <c r="C339" s="27" t="s">
        <v>1028</v>
      </c>
      <c r="D339" s="22" t="s">
        <v>3447</v>
      </c>
      <c r="E339" s="22">
        <v>1000.0</v>
      </c>
      <c r="F339" s="22">
        <v>95.0</v>
      </c>
      <c r="G339" s="22">
        <v>600.0</v>
      </c>
      <c r="H339" s="22">
        <v>1.5</v>
      </c>
      <c r="I339" s="22">
        <v>2.0</v>
      </c>
      <c r="K339" s="49">
        <f t="shared" si="15"/>
        <v>3400.2</v>
      </c>
    </row>
    <row r="340" ht="12.0" customHeight="1">
      <c r="A340" s="22"/>
      <c r="B340" s="22"/>
      <c r="C340" s="27" t="s">
        <v>1031</v>
      </c>
      <c r="D340" s="22" t="s">
        <v>3449</v>
      </c>
      <c r="E340" s="22">
        <v>800.0</v>
      </c>
      <c r="F340" s="22">
        <v>45.0</v>
      </c>
      <c r="G340" s="22">
        <v>600.0</v>
      </c>
      <c r="H340" s="22">
        <v>1.5</v>
      </c>
      <c r="I340" s="22">
        <v>2.0</v>
      </c>
      <c r="K340" s="49">
        <f t="shared" si="15"/>
        <v>2220.2</v>
      </c>
    </row>
    <row r="341" ht="12.0" customHeight="1">
      <c r="A341" s="22"/>
      <c r="B341" s="22"/>
      <c r="C341" s="27" t="s">
        <v>1033</v>
      </c>
      <c r="D341" s="22" t="s">
        <v>3451</v>
      </c>
      <c r="E341" s="22">
        <v>800.0</v>
      </c>
      <c r="F341" s="22">
        <v>45.0</v>
      </c>
      <c r="G341" s="22">
        <v>600.0</v>
      </c>
      <c r="H341" s="22">
        <v>1.5</v>
      </c>
      <c r="I341" s="22">
        <v>2.0</v>
      </c>
      <c r="K341" s="49">
        <f t="shared" si="15"/>
        <v>2220.2</v>
      </c>
    </row>
    <row r="342" ht="12.0" customHeight="1">
      <c r="A342" s="22"/>
      <c r="B342" s="22"/>
      <c r="C342" s="27" t="s">
        <v>1036</v>
      </c>
      <c r="D342" s="22" t="s">
        <v>3453</v>
      </c>
      <c r="E342" s="22">
        <v>1000.0</v>
      </c>
      <c r="F342" s="22">
        <v>90.0</v>
      </c>
      <c r="G342" s="22">
        <v>300.0</v>
      </c>
      <c r="H342" s="22">
        <v>1.5</v>
      </c>
      <c r="I342" s="22">
        <v>2.0</v>
      </c>
      <c r="K342" s="49">
        <f t="shared" si="15"/>
        <v>3300.1</v>
      </c>
    </row>
    <row r="343" ht="12.0" customHeight="1">
      <c r="A343" s="22"/>
      <c r="B343" s="22"/>
      <c r="C343" s="27" t="s">
        <v>1038</v>
      </c>
      <c r="D343" s="22" t="s">
        <v>3454</v>
      </c>
      <c r="E343" s="22">
        <v>1000.0</v>
      </c>
      <c r="F343" s="22">
        <v>90.0</v>
      </c>
      <c r="G343" s="22">
        <v>300.0</v>
      </c>
      <c r="H343" s="22">
        <v>1.5</v>
      </c>
      <c r="I343" s="22">
        <v>2.0</v>
      </c>
      <c r="K343" s="49">
        <f t="shared" si="15"/>
        <v>3300.1</v>
      </c>
    </row>
    <row r="344" ht="12.0" customHeight="1">
      <c r="A344" s="22"/>
      <c r="B344" s="22"/>
      <c r="C344" s="27" t="s">
        <v>1040</v>
      </c>
      <c r="D344" s="22" t="s">
        <v>3456</v>
      </c>
      <c r="E344" s="22">
        <v>1000.0</v>
      </c>
      <c r="F344" s="22">
        <v>90.0</v>
      </c>
      <c r="G344" s="22">
        <v>300.0</v>
      </c>
      <c r="H344" s="22">
        <v>1.5</v>
      </c>
      <c r="I344" s="22">
        <v>2.0</v>
      </c>
      <c r="K344" s="49">
        <f t="shared" si="15"/>
        <v>3300.1</v>
      </c>
    </row>
    <row r="345" ht="12.0" customHeight="1">
      <c r="A345" s="22"/>
      <c r="B345" s="22"/>
      <c r="C345" s="27" t="s">
        <v>1042</v>
      </c>
      <c r="D345" s="22" t="s">
        <v>3457</v>
      </c>
      <c r="E345" s="22">
        <v>1000.0</v>
      </c>
      <c r="F345" s="22">
        <v>85.0</v>
      </c>
      <c r="G345" s="22">
        <v>706.0</v>
      </c>
      <c r="H345" s="22">
        <v>1.5</v>
      </c>
      <c r="I345" s="22">
        <v>2.0</v>
      </c>
      <c r="K345" s="49">
        <f t="shared" si="15"/>
        <v>3200.235333</v>
      </c>
    </row>
    <row r="346" ht="12.0" customHeight="1">
      <c r="A346" s="22"/>
      <c r="B346" s="22"/>
      <c r="C346" s="27" t="s">
        <v>1044</v>
      </c>
      <c r="D346" s="22" t="s">
        <v>3460</v>
      </c>
      <c r="E346" s="22">
        <v>1000.0</v>
      </c>
      <c r="F346" s="22">
        <v>85.0</v>
      </c>
      <c r="G346" s="22">
        <v>706.0</v>
      </c>
      <c r="H346" s="22">
        <v>1.5</v>
      </c>
      <c r="I346" s="22">
        <v>2.0</v>
      </c>
      <c r="K346" s="49">
        <f t="shared" si="15"/>
        <v>3200.235333</v>
      </c>
    </row>
    <row r="347" ht="12.0" customHeight="1">
      <c r="A347" s="22"/>
      <c r="B347" s="22"/>
      <c r="C347" s="27" t="s">
        <v>1046</v>
      </c>
      <c r="D347" s="22" t="s">
        <v>3462</v>
      </c>
      <c r="E347" s="22">
        <v>900.0</v>
      </c>
      <c r="F347" s="22">
        <v>90.0</v>
      </c>
      <c r="G347" s="22">
        <v>706.0</v>
      </c>
      <c r="H347" s="22">
        <v>1.75</v>
      </c>
      <c r="I347" s="22">
        <v>2.0</v>
      </c>
      <c r="K347" s="49">
        <f t="shared" si="15"/>
        <v>3370.235333</v>
      </c>
    </row>
    <row r="348" ht="12.0" customHeight="1">
      <c r="A348" s="22"/>
      <c r="B348" s="22"/>
      <c r="C348" s="27" t="s">
        <v>1048</v>
      </c>
      <c r="D348" s="22" t="s">
        <v>3463</v>
      </c>
      <c r="E348" s="22">
        <v>2100.0</v>
      </c>
      <c r="F348" s="22">
        <v>100.0</v>
      </c>
      <c r="G348" s="22">
        <v>150.0</v>
      </c>
      <c r="H348" s="22">
        <v>1.75</v>
      </c>
      <c r="I348" s="22">
        <v>3.0</v>
      </c>
      <c r="K348" s="49">
        <f t="shared" si="15"/>
        <v>8925.075</v>
      </c>
    </row>
    <row r="349" ht="12.0" customHeight="1">
      <c r="A349" s="22"/>
      <c r="B349" s="22"/>
      <c r="C349" s="27" t="s">
        <v>1050</v>
      </c>
      <c r="D349" s="22" t="s">
        <v>3465</v>
      </c>
      <c r="E349" s="22">
        <v>2100.0</v>
      </c>
      <c r="F349" s="22">
        <v>100.0</v>
      </c>
      <c r="G349" s="22">
        <v>150.0</v>
      </c>
      <c r="H349" s="22">
        <v>1.75</v>
      </c>
      <c r="I349" s="22">
        <v>3.0</v>
      </c>
      <c r="K349" s="49">
        <f t="shared" si="15"/>
        <v>8925.075</v>
      </c>
    </row>
    <row r="350" ht="12.0" customHeight="1">
      <c r="A350" s="22"/>
      <c r="B350" s="22"/>
      <c r="C350" s="27" t="s">
        <v>1052</v>
      </c>
      <c r="D350" s="22" t="s">
        <v>3466</v>
      </c>
      <c r="E350" s="22">
        <v>2000.0</v>
      </c>
      <c r="F350" s="22">
        <v>100.0</v>
      </c>
      <c r="G350" s="22">
        <v>50.0</v>
      </c>
      <c r="H350" s="22">
        <v>1.75</v>
      </c>
      <c r="I350" s="22">
        <v>3.0</v>
      </c>
      <c r="K350" s="49">
        <f t="shared" si="15"/>
        <v>8625.025</v>
      </c>
    </row>
    <row r="351" ht="12.0" customHeight="1">
      <c r="A351" s="22"/>
      <c r="B351" s="22"/>
      <c r="C351" s="27" t="s">
        <v>1054</v>
      </c>
      <c r="D351" s="22" t="s">
        <v>3467</v>
      </c>
      <c r="E351" s="22">
        <v>2000.0</v>
      </c>
      <c r="F351" s="22">
        <v>100.0</v>
      </c>
      <c r="G351" s="22">
        <v>50.0</v>
      </c>
      <c r="H351" s="22">
        <v>1.75</v>
      </c>
      <c r="I351" s="22">
        <v>3.0</v>
      </c>
      <c r="K351" s="49">
        <f t="shared" si="15"/>
        <v>8625.025</v>
      </c>
    </row>
    <row r="352" ht="12.0" customHeight="1">
      <c r="A352" s="22"/>
      <c r="B352" s="22"/>
      <c r="C352" s="27"/>
      <c r="D352" s="22"/>
      <c r="K352" s="49"/>
    </row>
    <row r="353" ht="12.0" customHeight="1">
      <c r="A353" s="56" t="s">
        <v>1758</v>
      </c>
      <c r="B353" s="22"/>
      <c r="C353" s="27"/>
      <c r="D353" s="22"/>
      <c r="K353" s="49"/>
    </row>
    <row r="354" ht="12.75" customHeight="1">
      <c r="A354" s="22"/>
      <c r="B354" s="22"/>
      <c r="C354" s="22"/>
      <c r="D354" s="22"/>
      <c r="I354" s="57"/>
      <c r="J354" s="57" t="s">
        <v>2926</v>
      </c>
      <c r="K354" s="49"/>
    </row>
    <row r="355" ht="12.75" customHeight="1">
      <c r="A355" s="57"/>
      <c r="B355" s="57"/>
      <c r="C355" s="57" t="s">
        <v>2927</v>
      </c>
      <c r="D355" s="57" t="s">
        <v>2928</v>
      </c>
      <c r="E355" s="57" t="s">
        <v>3468</v>
      </c>
      <c r="F355" s="57" t="s">
        <v>3469</v>
      </c>
      <c r="G355" s="57" t="s">
        <v>3470</v>
      </c>
      <c r="H355" s="57" t="s">
        <v>3471</v>
      </c>
      <c r="I355" s="57" t="s">
        <v>12</v>
      </c>
      <c r="J355" s="58">
        <v>1.0</v>
      </c>
      <c r="K355" s="66" t="s">
        <v>22</v>
      </c>
    </row>
    <row r="356" ht="12.0" customHeight="1">
      <c r="A356" s="22"/>
      <c r="B356" s="22"/>
      <c r="C356" s="27" t="s">
        <v>1759</v>
      </c>
      <c r="D356" s="22" t="s">
        <v>3472</v>
      </c>
      <c r="E356" s="22">
        <v>0.0</v>
      </c>
      <c r="F356" s="22">
        <v>0.0</v>
      </c>
      <c r="G356" s="22">
        <v>0.0</v>
      </c>
      <c r="H356" s="22">
        <v>0.0</v>
      </c>
      <c r="I356" s="27">
        <v>1.0</v>
      </c>
      <c r="K356" s="49">
        <f t="shared" ref="K356:K394" si="16">(10+E356+F356+(H356*50))*I356*$J$355</f>
        <v>10</v>
      </c>
      <c r="L356" s="6" t="s">
        <v>3473</v>
      </c>
    </row>
    <row r="357" ht="12.0" customHeight="1">
      <c r="A357" s="22"/>
      <c r="B357" s="22"/>
      <c r="C357" s="27" t="s">
        <v>1761</v>
      </c>
      <c r="D357" s="22" t="s">
        <v>3474</v>
      </c>
      <c r="E357" s="22">
        <v>0.0</v>
      </c>
      <c r="F357" s="22">
        <v>0.0</v>
      </c>
      <c r="G357" s="22">
        <v>0.0</v>
      </c>
      <c r="H357" s="22">
        <v>0.0</v>
      </c>
      <c r="I357" s="27">
        <v>1.0</v>
      </c>
      <c r="K357" s="49">
        <f t="shared" si="16"/>
        <v>10</v>
      </c>
    </row>
    <row r="358" ht="12.0" customHeight="1">
      <c r="A358" s="22"/>
      <c r="B358" s="22"/>
      <c r="C358" s="27" t="s">
        <v>1766</v>
      </c>
      <c r="D358" s="22" t="s">
        <v>3475</v>
      </c>
      <c r="E358" s="22">
        <v>6.0</v>
      </c>
      <c r="F358" s="22">
        <v>4.0</v>
      </c>
      <c r="G358" s="22">
        <v>280.0</v>
      </c>
      <c r="H358" s="22">
        <v>0.0</v>
      </c>
      <c r="I358" s="27">
        <v>1.0</v>
      </c>
      <c r="K358" s="49">
        <f t="shared" si="16"/>
        <v>20</v>
      </c>
    </row>
    <row r="359" ht="12.0" customHeight="1">
      <c r="A359" s="22"/>
      <c r="B359" s="22"/>
      <c r="C359" s="27" t="s">
        <v>1772</v>
      </c>
      <c r="D359" s="22" t="s">
        <v>3476</v>
      </c>
      <c r="E359" s="22">
        <v>9.0</v>
      </c>
      <c r="F359" s="22">
        <v>4.0</v>
      </c>
      <c r="G359" s="22">
        <v>280.0</v>
      </c>
      <c r="H359" s="22">
        <v>0.0</v>
      </c>
      <c r="I359" s="27">
        <v>1.0</v>
      </c>
      <c r="K359" s="49">
        <f t="shared" si="16"/>
        <v>23</v>
      </c>
    </row>
    <row r="360" ht="12.0" customHeight="1">
      <c r="A360" s="22"/>
      <c r="B360" s="22"/>
      <c r="C360" s="27" t="s">
        <v>1782</v>
      </c>
      <c r="D360" s="22" t="s">
        <v>3477</v>
      </c>
      <c r="E360" s="22">
        <v>11.0</v>
      </c>
      <c r="F360" s="22">
        <v>4.0</v>
      </c>
      <c r="G360" s="22">
        <v>280.0</v>
      </c>
      <c r="H360" s="22">
        <v>0.0</v>
      </c>
      <c r="I360" s="27">
        <v>1.0</v>
      </c>
      <c r="K360" s="49">
        <f t="shared" si="16"/>
        <v>25</v>
      </c>
    </row>
    <row r="361" ht="12.0" customHeight="1">
      <c r="A361" s="22"/>
      <c r="B361" s="22"/>
      <c r="C361" s="27" t="s">
        <v>1788</v>
      </c>
      <c r="D361" s="22" t="s">
        <v>3478</v>
      </c>
      <c r="E361" s="22">
        <v>16.0</v>
      </c>
      <c r="F361" s="22">
        <v>3.0</v>
      </c>
      <c r="G361" s="22">
        <v>380.0</v>
      </c>
      <c r="H361" s="22">
        <v>0.0</v>
      </c>
      <c r="I361" s="27">
        <v>1.0</v>
      </c>
      <c r="K361" s="49">
        <f t="shared" si="16"/>
        <v>29</v>
      </c>
    </row>
    <row r="362" ht="12.0" customHeight="1">
      <c r="A362" s="22"/>
      <c r="B362" s="22"/>
      <c r="C362" s="27" t="s">
        <v>1795</v>
      </c>
      <c r="D362" s="22" t="s">
        <v>3479</v>
      </c>
      <c r="E362" s="22">
        <v>20.0</v>
      </c>
      <c r="F362" s="22">
        <v>8.0</v>
      </c>
      <c r="G362" s="22">
        <v>270.0</v>
      </c>
      <c r="H362" s="22">
        <v>0.0</v>
      </c>
      <c r="I362" s="27">
        <v>1.0</v>
      </c>
      <c r="K362" s="49">
        <f t="shared" si="16"/>
        <v>38</v>
      </c>
    </row>
    <row r="363" ht="12.0" customHeight="1">
      <c r="A363" s="22"/>
      <c r="B363" s="22"/>
      <c r="C363" s="27" t="s">
        <v>1801</v>
      </c>
      <c r="D363" s="22" t="s">
        <v>3480</v>
      </c>
      <c r="E363" s="22">
        <v>30.0</v>
      </c>
      <c r="F363" s="22">
        <v>3.0</v>
      </c>
      <c r="G363" s="22">
        <v>380.0</v>
      </c>
      <c r="H363" s="22">
        <v>0.0</v>
      </c>
      <c r="I363" s="27">
        <v>1.0</v>
      </c>
      <c r="K363" s="49">
        <f t="shared" si="16"/>
        <v>43</v>
      </c>
    </row>
    <row r="364" ht="12.0" customHeight="1">
      <c r="A364" s="22"/>
      <c r="B364" s="22"/>
      <c r="C364" s="27" t="s">
        <v>1806</v>
      </c>
      <c r="D364" s="22" t="s">
        <v>3481</v>
      </c>
      <c r="E364" s="22">
        <v>30.0</v>
      </c>
      <c r="F364" s="22">
        <v>4.0</v>
      </c>
      <c r="G364" s="22">
        <v>280.0</v>
      </c>
      <c r="H364" s="22">
        <v>0.0</v>
      </c>
      <c r="I364" s="27">
        <v>1.0</v>
      </c>
      <c r="K364" s="49">
        <f t="shared" si="16"/>
        <v>44</v>
      </c>
    </row>
    <row r="365" ht="12.0" customHeight="1">
      <c r="A365" s="22"/>
      <c r="B365" s="22"/>
      <c r="C365" s="27" t="s">
        <v>1812</v>
      </c>
      <c r="D365" s="22" t="s">
        <v>3482</v>
      </c>
      <c r="E365" s="22">
        <v>30.0</v>
      </c>
      <c r="F365" s="22">
        <v>8.0</v>
      </c>
      <c r="G365" s="22">
        <v>920.0</v>
      </c>
      <c r="H365" s="22">
        <v>0.0</v>
      </c>
      <c r="I365" s="27">
        <v>1.0</v>
      </c>
      <c r="K365" s="49">
        <f t="shared" si="16"/>
        <v>48</v>
      </c>
    </row>
    <row r="366" ht="12.0" customHeight="1">
      <c r="A366" s="22"/>
      <c r="B366" s="22"/>
      <c r="C366" s="27"/>
      <c r="D366" s="36" t="s">
        <v>3483</v>
      </c>
      <c r="E366" s="36">
        <v>30.0</v>
      </c>
      <c r="F366" s="36">
        <v>8.0</v>
      </c>
      <c r="G366" s="36">
        <v>920.0</v>
      </c>
      <c r="H366" s="36">
        <v>0.0</v>
      </c>
      <c r="I366" s="60">
        <v>1.0</v>
      </c>
      <c r="K366" s="49">
        <f t="shared" si="16"/>
        <v>48</v>
      </c>
    </row>
    <row r="367" ht="12.0" customHeight="1">
      <c r="A367" s="22"/>
      <c r="B367" s="22"/>
      <c r="C367" s="27"/>
      <c r="D367" s="36" t="s">
        <v>3484</v>
      </c>
      <c r="E367" s="36">
        <v>30.0</v>
      </c>
      <c r="F367" s="36">
        <v>8.0</v>
      </c>
      <c r="G367" s="36">
        <v>920.0</v>
      </c>
      <c r="H367" s="36">
        <v>0.0</v>
      </c>
      <c r="I367" s="60">
        <v>1.0</v>
      </c>
      <c r="K367" s="49">
        <f t="shared" si="16"/>
        <v>48</v>
      </c>
    </row>
    <row r="368" ht="12.0" customHeight="1">
      <c r="A368" s="22"/>
      <c r="B368" s="22"/>
      <c r="C368" s="27" t="s">
        <v>1823</v>
      </c>
      <c r="D368" s="22" t="s">
        <v>3485</v>
      </c>
      <c r="E368" s="22">
        <v>30.0</v>
      </c>
      <c r="F368" s="22">
        <v>10.0</v>
      </c>
      <c r="G368" s="22">
        <v>820.0</v>
      </c>
      <c r="H368" s="22">
        <v>0.0</v>
      </c>
      <c r="I368" s="27">
        <v>1.0</v>
      </c>
      <c r="K368" s="49">
        <f t="shared" si="16"/>
        <v>50</v>
      </c>
    </row>
    <row r="369" ht="12.0" customHeight="1">
      <c r="A369" s="22"/>
      <c r="B369" s="22"/>
      <c r="C369" s="27" t="s">
        <v>1830</v>
      </c>
      <c r="D369" s="22" t="s">
        <v>3486</v>
      </c>
      <c r="E369" s="22">
        <v>30.0</v>
      </c>
      <c r="F369" s="22">
        <v>10.0</v>
      </c>
      <c r="G369" s="22">
        <v>820.0</v>
      </c>
      <c r="H369" s="22">
        <v>0.0</v>
      </c>
      <c r="I369" s="27">
        <v>1.0</v>
      </c>
      <c r="K369" s="49">
        <f t="shared" si="16"/>
        <v>50</v>
      </c>
    </row>
    <row r="370" ht="12.0" customHeight="1">
      <c r="A370" s="22"/>
      <c r="B370" s="22"/>
      <c r="C370" s="27" t="s">
        <v>1837</v>
      </c>
      <c r="D370" s="22" t="s">
        <v>3487</v>
      </c>
      <c r="E370" s="22">
        <v>30.0</v>
      </c>
      <c r="F370" s="22">
        <v>4.0</v>
      </c>
      <c r="G370" s="22">
        <v>280.0</v>
      </c>
      <c r="H370" s="22">
        <v>1.0</v>
      </c>
      <c r="I370" s="27">
        <v>1.0</v>
      </c>
      <c r="K370" s="49">
        <f t="shared" si="16"/>
        <v>94</v>
      </c>
    </row>
    <row r="371" ht="12.0" customHeight="1">
      <c r="A371" s="22"/>
      <c r="B371" s="22"/>
      <c r="C371" s="27" t="s">
        <v>1846</v>
      </c>
      <c r="D371" s="22" t="s">
        <v>3488</v>
      </c>
      <c r="E371" s="22">
        <v>30.0</v>
      </c>
      <c r="F371" s="22">
        <v>4.0</v>
      </c>
      <c r="G371" s="22">
        <v>280.0</v>
      </c>
      <c r="H371" s="22">
        <v>1.0</v>
      </c>
      <c r="I371" s="27">
        <v>1.0</v>
      </c>
      <c r="K371" s="49">
        <f t="shared" si="16"/>
        <v>94</v>
      </c>
    </row>
    <row r="372" ht="12.0" customHeight="1">
      <c r="A372" s="22"/>
      <c r="B372" s="22"/>
      <c r="C372" s="27" t="s">
        <v>1851</v>
      </c>
      <c r="D372" s="22" t="s">
        <v>3489</v>
      </c>
      <c r="E372" s="22">
        <v>30.0</v>
      </c>
      <c r="F372" s="22">
        <v>4.0</v>
      </c>
      <c r="G372" s="22">
        <v>280.0</v>
      </c>
      <c r="H372" s="22">
        <v>1.0</v>
      </c>
      <c r="I372" s="27">
        <v>1.0</v>
      </c>
      <c r="K372" s="49">
        <f t="shared" si="16"/>
        <v>94</v>
      </c>
    </row>
    <row r="373" ht="12.0" customHeight="1">
      <c r="A373" s="22"/>
      <c r="B373" s="22"/>
      <c r="C373" s="27" t="s">
        <v>1858</v>
      </c>
      <c r="D373" s="22" t="s">
        <v>3490</v>
      </c>
      <c r="E373" s="22">
        <v>30.0</v>
      </c>
      <c r="F373" s="22">
        <v>8.0</v>
      </c>
      <c r="G373" s="22">
        <v>920.0</v>
      </c>
      <c r="H373" s="22">
        <v>1.0</v>
      </c>
      <c r="I373" s="27">
        <v>1.0</v>
      </c>
      <c r="K373" s="49">
        <f t="shared" si="16"/>
        <v>98</v>
      </c>
    </row>
    <row r="374" ht="12.0" customHeight="1">
      <c r="A374" s="22"/>
      <c r="B374" s="22"/>
      <c r="C374" s="27" t="s">
        <v>1869</v>
      </c>
      <c r="D374" s="22" t="s">
        <v>3491</v>
      </c>
      <c r="E374" s="22">
        <v>30.0</v>
      </c>
      <c r="F374" s="22">
        <v>8.0</v>
      </c>
      <c r="G374" s="22">
        <v>920.0</v>
      </c>
      <c r="H374" s="22">
        <v>1.0</v>
      </c>
      <c r="I374" s="27">
        <v>1.0</v>
      </c>
      <c r="K374" s="49">
        <f t="shared" si="16"/>
        <v>98</v>
      </c>
    </row>
    <row r="375" ht="12.0" customHeight="1">
      <c r="A375" s="22"/>
      <c r="B375" s="22"/>
      <c r="C375" s="27" t="s">
        <v>1873</v>
      </c>
      <c r="D375" s="22" t="s">
        <v>3492</v>
      </c>
      <c r="E375" s="22">
        <v>30.0</v>
      </c>
      <c r="F375" s="22">
        <v>8.0</v>
      </c>
      <c r="G375" s="22">
        <v>920.0</v>
      </c>
      <c r="H375" s="22">
        <v>1.0</v>
      </c>
      <c r="I375" s="27">
        <v>1.0</v>
      </c>
      <c r="K375" s="49">
        <f t="shared" si="16"/>
        <v>98</v>
      </c>
    </row>
    <row r="376" ht="12.0" customHeight="1">
      <c r="A376" s="22"/>
      <c r="B376" s="22"/>
      <c r="C376" s="27" t="s">
        <v>1879</v>
      </c>
      <c r="D376" s="22" t="s">
        <v>3493</v>
      </c>
      <c r="E376" s="22">
        <v>30.0</v>
      </c>
      <c r="F376" s="22">
        <v>10.0</v>
      </c>
      <c r="G376" s="22">
        <v>820.0</v>
      </c>
      <c r="H376" s="22">
        <v>1.0</v>
      </c>
      <c r="I376" s="27">
        <v>1.0</v>
      </c>
      <c r="K376" s="49">
        <f t="shared" si="16"/>
        <v>100</v>
      </c>
    </row>
    <row r="377" ht="12.0" customHeight="1">
      <c r="A377" s="22"/>
      <c r="B377" s="22"/>
      <c r="C377" s="27" t="s">
        <v>1885</v>
      </c>
      <c r="D377" s="22" t="s">
        <v>3494</v>
      </c>
      <c r="E377" s="22">
        <v>30.0</v>
      </c>
      <c r="F377" s="22">
        <v>10.0</v>
      </c>
      <c r="G377" s="22">
        <v>820.0</v>
      </c>
      <c r="H377" s="22">
        <v>1.0</v>
      </c>
      <c r="I377" s="27">
        <v>1.0</v>
      </c>
      <c r="K377" s="49">
        <f t="shared" si="16"/>
        <v>100</v>
      </c>
    </row>
    <row r="378" ht="12.0" customHeight="1">
      <c r="A378" s="22"/>
      <c r="B378" s="22"/>
      <c r="C378" s="27" t="s">
        <v>1889</v>
      </c>
      <c r="D378" s="22" t="s">
        <v>3495</v>
      </c>
      <c r="E378" s="27">
        <v>100.0</v>
      </c>
      <c r="F378" s="27">
        <v>10.0</v>
      </c>
      <c r="G378" s="27">
        <v>820.0</v>
      </c>
      <c r="H378" s="27">
        <v>0.25</v>
      </c>
      <c r="I378" s="27">
        <v>1.0</v>
      </c>
      <c r="K378" s="49">
        <f t="shared" si="16"/>
        <v>132.5</v>
      </c>
    </row>
    <row r="379" ht="12.0" customHeight="1">
      <c r="A379" s="22"/>
      <c r="B379" s="22"/>
      <c r="C379" s="27" t="s">
        <v>1894</v>
      </c>
      <c r="D379" s="22" t="s">
        <v>3497</v>
      </c>
      <c r="E379" s="27">
        <v>100.0</v>
      </c>
      <c r="F379" s="27">
        <v>10.0</v>
      </c>
      <c r="G379" s="27">
        <v>820.0</v>
      </c>
      <c r="H379" s="27">
        <v>1.0</v>
      </c>
      <c r="I379" s="27">
        <v>1.0</v>
      </c>
      <c r="K379" s="49">
        <f t="shared" si="16"/>
        <v>170</v>
      </c>
      <c r="L379" s="6"/>
    </row>
    <row r="380" ht="12.0" customHeight="1">
      <c r="A380" s="22"/>
      <c r="B380" s="22"/>
      <c r="C380" s="27"/>
      <c r="D380" s="36" t="s">
        <v>3498</v>
      </c>
      <c r="E380" s="36">
        <v>10.0</v>
      </c>
      <c r="F380" s="36">
        <v>12.0</v>
      </c>
      <c r="G380" s="36">
        <v>800.0</v>
      </c>
      <c r="H380" s="36">
        <v>0.0</v>
      </c>
      <c r="I380" s="60">
        <v>2.0</v>
      </c>
      <c r="K380" s="49">
        <f t="shared" si="16"/>
        <v>64</v>
      </c>
    </row>
    <row r="381" ht="12.0" customHeight="1">
      <c r="A381" s="22"/>
      <c r="B381" s="22"/>
      <c r="C381" s="27" t="s">
        <v>1899</v>
      </c>
      <c r="D381" s="22" t="s">
        <v>3499</v>
      </c>
      <c r="E381" s="22">
        <v>10.0</v>
      </c>
      <c r="F381" s="22">
        <v>12.0</v>
      </c>
      <c r="G381" s="22">
        <v>800.0</v>
      </c>
      <c r="H381" s="22">
        <v>0.0</v>
      </c>
      <c r="I381" s="27">
        <v>2.0</v>
      </c>
      <c r="K381" s="49">
        <f t="shared" si="16"/>
        <v>64</v>
      </c>
    </row>
    <row r="382" ht="12.0" customHeight="1">
      <c r="A382" s="22"/>
      <c r="B382" s="22"/>
      <c r="C382" s="27" t="s">
        <v>1909</v>
      </c>
      <c r="D382" s="22" t="s">
        <v>3500</v>
      </c>
      <c r="E382" s="22">
        <v>10.0</v>
      </c>
      <c r="F382" s="22">
        <v>16.0</v>
      </c>
      <c r="G382" s="22">
        <v>890.0</v>
      </c>
      <c r="H382" s="22">
        <v>0.0</v>
      </c>
      <c r="I382" s="27">
        <v>2.0</v>
      </c>
      <c r="K382" s="49">
        <f t="shared" si="16"/>
        <v>72</v>
      </c>
      <c r="L382" s="6"/>
    </row>
    <row r="383" ht="12.0" customHeight="1">
      <c r="A383" s="22"/>
      <c r="B383" s="22"/>
      <c r="C383" s="27" t="s">
        <v>1914</v>
      </c>
      <c r="D383" s="22" t="s">
        <v>3502</v>
      </c>
      <c r="E383" s="22">
        <v>10.0</v>
      </c>
      <c r="F383" s="22">
        <v>18.0</v>
      </c>
      <c r="G383" s="22">
        <v>785.0</v>
      </c>
      <c r="H383" s="22">
        <v>0.0</v>
      </c>
      <c r="I383" s="27">
        <v>2.0</v>
      </c>
      <c r="K383" s="49">
        <f t="shared" si="16"/>
        <v>76</v>
      </c>
    </row>
    <row r="384" ht="12.0" customHeight="1">
      <c r="A384" s="22"/>
      <c r="B384" s="22"/>
      <c r="C384" s="27" t="s">
        <v>1920</v>
      </c>
      <c r="D384" s="22" t="s">
        <v>3503</v>
      </c>
      <c r="E384" s="27">
        <v>10.0</v>
      </c>
      <c r="F384" s="27">
        <v>20.0</v>
      </c>
      <c r="G384" s="27">
        <v>270.0</v>
      </c>
      <c r="H384" s="27">
        <v>0.0</v>
      </c>
      <c r="I384" s="27">
        <v>2.0</v>
      </c>
      <c r="K384" s="49">
        <f t="shared" si="16"/>
        <v>80</v>
      </c>
    </row>
    <row r="385" ht="12.0" customHeight="1">
      <c r="A385" s="22"/>
      <c r="B385" s="22"/>
      <c r="C385" s="27" t="s">
        <v>1929</v>
      </c>
      <c r="D385" s="22" t="s">
        <v>3504</v>
      </c>
      <c r="E385" s="22">
        <v>7.0</v>
      </c>
      <c r="F385" s="22">
        <v>24.0</v>
      </c>
      <c r="G385" s="22">
        <v>910.0</v>
      </c>
      <c r="H385" s="22">
        <v>0.0</v>
      </c>
      <c r="I385" s="27">
        <v>2.0</v>
      </c>
      <c r="K385" s="49">
        <f t="shared" si="16"/>
        <v>82</v>
      </c>
    </row>
    <row r="386" ht="12.0" customHeight="1">
      <c r="A386" s="22"/>
      <c r="B386" s="22"/>
      <c r="C386" s="27" t="s">
        <v>1935</v>
      </c>
      <c r="D386" s="22" t="s">
        <v>3506</v>
      </c>
      <c r="E386" s="22">
        <v>20.0</v>
      </c>
      <c r="F386" s="22">
        <v>12.0</v>
      </c>
      <c r="G386" s="22">
        <v>800.0</v>
      </c>
      <c r="H386" s="22">
        <v>0.0</v>
      </c>
      <c r="I386" s="60">
        <v>2.0</v>
      </c>
      <c r="K386" s="49">
        <f t="shared" si="16"/>
        <v>84</v>
      </c>
    </row>
    <row r="387" ht="12.0" customHeight="1">
      <c r="A387" s="22"/>
      <c r="B387" s="22"/>
      <c r="C387" s="27" t="s">
        <v>1944</v>
      </c>
      <c r="D387" s="22" t="s">
        <v>3507</v>
      </c>
      <c r="E387" s="22">
        <v>5.0</v>
      </c>
      <c r="F387" s="22">
        <v>35.0</v>
      </c>
      <c r="G387" s="22">
        <v>820.0</v>
      </c>
      <c r="H387" s="22">
        <v>0.0</v>
      </c>
      <c r="I387" s="27">
        <v>2.0</v>
      </c>
      <c r="K387" s="49">
        <f t="shared" si="16"/>
        <v>100</v>
      </c>
    </row>
    <row r="388" ht="12.0" customHeight="1">
      <c r="A388" s="22"/>
      <c r="B388" s="22"/>
      <c r="C388" s="27" t="s">
        <v>1951</v>
      </c>
      <c r="D388" s="22" t="s">
        <v>3508</v>
      </c>
      <c r="E388" s="22">
        <v>5.0</v>
      </c>
      <c r="F388" s="22">
        <v>60.0</v>
      </c>
      <c r="G388" s="22">
        <v>1060.0</v>
      </c>
      <c r="H388" s="22">
        <v>0.0</v>
      </c>
      <c r="I388" s="27">
        <v>2.0</v>
      </c>
      <c r="K388" s="49">
        <f t="shared" si="16"/>
        <v>150</v>
      </c>
    </row>
    <row r="389" ht="12.0" customHeight="1">
      <c r="A389" s="22"/>
      <c r="B389" s="22"/>
      <c r="C389" s="27" t="s">
        <v>1957</v>
      </c>
      <c r="D389" s="22" t="s">
        <v>3509</v>
      </c>
      <c r="E389" s="22">
        <v>130.0</v>
      </c>
      <c r="F389" s="22">
        <v>14.0</v>
      </c>
      <c r="G389" s="22">
        <v>760.0</v>
      </c>
      <c r="H389" s="22">
        <v>0.2</v>
      </c>
      <c r="I389" s="27">
        <v>2.0</v>
      </c>
      <c r="K389" s="49">
        <f t="shared" si="16"/>
        <v>328</v>
      </c>
    </row>
    <row r="390" ht="12.0" customHeight="1">
      <c r="A390" s="22"/>
      <c r="B390" s="22"/>
      <c r="C390" s="27" t="s">
        <v>1965</v>
      </c>
      <c r="D390" s="22" t="s">
        <v>3510</v>
      </c>
      <c r="E390" s="22">
        <v>150.0</v>
      </c>
      <c r="F390" s="22">
        <v>12.0</v>
      </c>
      <c r="G390" s="22">
        <v>800.0</v>
      </c>
      <c r="H390" s="22">
        <v>0.2</v>
      </c>
      <c r="I390" s="27">
        <v>2.0</v>
      </c>
      <c r="K390" s="49">
        <f t="shared" si="16"/>
        <v>364</v>
      </c>
    </row>
    <row r="391" ht="12.0" customHeight="1">
      <c r="A391" s="22"/>
      <c r="B391" s="22"/>
      <c r="C391" s="27" t="s">
        <v>1971</v>
      </c>
      <c r="D391" s="22" t="s">
        <v>3511</v>
      </c>
      <c r="E391" s="22">
        <v>150.0</v>
      </c>
      <c r="F391" s="22">
        <v>18.0</v>
      </c>
      <c r="G391" s="22">
        <v>785.0</v>
      </c>
      <c r="H391" s="22">
        <v>0.33</v>
      </c>
      <c r="I391" s="27">
        <v>2.0</v>
      </c>
      <c r="K391" s="49">
        <f t="shared" si="16"/>
        <v>389</v>
      </c>
    </row>
    <row r="392" ht="12.0" customHeight="1">
      <c r="A392" s="22"/>
      <c r="B392" s="22"/>
      <c r="C392" s="27" t="s">
        <v>1981</v>
      </c>
      <c r="D392" s="22" t="s">
        <v>3513</v>
      </c>
      <c r="E392" s="22">
        <v>150.0</v>
      </c>
      <c r="F392" s="22">
        <v>12.0</v>
      </c>
      <c r="G392" s="22">
        <v>800.0</v>
      </c>
      <c r="H392" s="22">
        <v>1.0</v>
      </c>
      <c r="I392" s="27">
        <v>2.0</v>
      </c>
      <c r="K392" s="49">
        <f t="shared" si="16"/>
        <v>444</v>
      </c>
    </row>
    <row r="393" ht="12.0" customHeight="1">
      <c r="A393" s="22"/>
      <c r="B393" s="22"/>
      <c r="C393" s="27" t="s">
        <v>1993</v>
      </c>
      <c r="D393" s="22" t="s">
        <v>3514</v>
      </c>
      <c r="E393" s="22">
        <v>200.0</v>
      </c>
      <c r="F393" s="22">
        <v>10.0</v>
      </c>
      <c r="G393" s="22">
        <v>820.0</v>
      </c>
      <c r="H393" s="22">
        <v>0.25</v>
      </c>
      <c r="I393" s="27">
        <v>2.0</v>
      </c>
      <c r="K393" s="49">
        <f t="shared" si="16"/>
        <v>465</v>
      </c>
    </row>
    <row r="394" ht="12.0" customHeight="1">
      <c r="A394" s="22"/>
      <c r="B394" s="22"/>
      <c r="C394" s="27" t="s">
        <v>2002</v>
      </c>
      <c r="D394" s="22" t="s">
        <v>3517</v>
      </c>
      <c r="E394" s="22">
        <v>200.0</v>
      </c>
      <c r="F394" s="22">
        <v>10.0</v>
      </c>
      <c r="G394" s="22">
        <v>820.0</v>
      </c>
      <c r="H394" s="22">
        <v>1.0</v>
      </c>
      <c r="I394" s="27">
        <v>2.0</v>
      </c>
      <c r="K394" s="49">
        <f t="shared" si="16"/>
        <v>540</v>
      </c>
    </row>
    <row r="395" ht="12.0" customHeight="1">
      <c r="A395" s="22"/>
      <c r="B395" s="22"/>
      <c r="C395" s="27"/>
      <c r="D395" s="22"/>
      <c r="I395" s="27"/>
      <c r="K395" s="49"/>
    </row>
    <row r="396" ht="12.0" customHeight="1">
      <c r="A396" s="56" t="s">
        <v>1181</v>
      </c>
      <c r="B396" s="22"/>
      <c r="C396" s="27"/>
      <c r="D396" s="22"/>
      <c r="I396" s="27"/>
      <c r="K396" s="49"/>
    </row>
    <row r="397" ht="12.75" customHeight="1">
      <c r="A397" s="22"/>
      <c r="B397" s="22"/>
      <c r="C397" s="22"/>
      <c r="D397" s="22"/>
      <c r="J397" s="57" t="s">
        <v>2926</v>
      </c>
      <c r="K397" s="49"/>
    </row>
    <row r="398" ht="12.75" customHeight="1">
      <c r="A398" s="22"/>
      <c r="B398" s="22"/>
      <c r="C398" s="57" t="s">
        <v>2927</v>
      </c>
      <c r="D398" s="57" t="s">
        <v>2928</v>
      </c>
      <c r="E398" s="57" t="s">
        <v>3518</v>
      </c>
      <c r="F398" s="57" t="s">
        <v>3519</v>
      </c>
      <c r="G398" s="57" t="s">
        <v>12</v>
      </c>
      <c r="J398" s="58">
        <v>1.0</v>
      </c>
      <c r="K398" s="66" t="s">
        <v>22</v>
      </c>
    </row>
    <row r="399" ht="12.0" customHeight="1">
      <c r="A399" s="22"/>
      <c r="B399" s="22"/>
      <c r="C399" s="27" t="s">
        <v>1186</v>
      </c>
      <c r="D399" s="22" t="s">
        <v>3520</v>
      </c>
      <c r="E399" s="27">
        <v>200.0</v>
      </c>
      <c r="F399" s="22">
        <v>0.0</v>
      </c>
      <c r="G399" s="22">
        <v>1.0</v>
      </c>
      <c r="K399" s="49">
        <f t="shared" ref="K399:K423" si="17">(E399+(F399*1000))*G399*$J$398</f>
        <v>200</v>
      </c>
    </row>
    <row r="400" ht="12.0" customHeight="1">
      <c r="A400" s="22"/>
      <c r="B400" s="22"/>
      <c r="C400" s="27" t="s">
        <v>1192</v>
      </c>
      <c r="D400" s="22" t="s">
        <v>3522</v>
      </c>
      <c r="E400" s="27">
        <v>200.0</v>
      </c>
      <c r="F400" s="22">
        <v>0.0</v>
      </c>
      <c r="G400" s="22">
        <v>1.0</v>
      </c>
      <c r="K400" s="49">
        <f t="shared" si="17"/>
        <v>200</v>
      </c>
    </row>
    <row r="401" ht="12.0" customHeight="1">
      <c r="A401" s="22"/>
      <c r="B401" s="22"/>
      <c r="C401" s="27" t="s">
        <v>1199</v>
      </c>
      <c r="D401" s="22" t="s">
        <v>3523</v>
      </c>
      <c r="E401" s="27">
        <v>100.0</v>
      </c>
      <c r="F401" s="22">
        <v>0.0</v>
      </c>
      <c r="G401" s="22">
        <v>1.0</v>
      </c>
      <c r="K401" s="49">
        <f t="shared" si="17"/>
        <v>100</v>
      </c>
    </row>
    <row r="402" ht="12.0" customHeight="1">
      <c r="A402" s="22"/>
      <c r="B402" s="22"/>
      <c r="C402" s="27" t="s">
        <v>1210</v>
      </c>
      <c r="D402" s="22" t="s">
        <v>3524</v>
      </c>
      <c r="E402" s="27">
        <v>100.0</v>
      </c>
      <c r="F402" s="22">
        <v>0.0</v>
      </c>
      <c r="G402" s="22">
        <v>1.0</v>
      </c>
      <c r="K402" s="49">
        <f t="shared" si="17"/>
        <v>100</v>
      </c>
    </row>
    <row r="403" ht="12.0" customHeight="1">
      <c r="A403" s="22"/>
      <c r="B403" s="22"/>
      <c r="C403" s="27" t="s">
        <v>1220</v>
      </c>
      <c r="D403" s="22" t="s">
        <v>3525</v>
      </c>
      <c r="E403" s="27">
        <v>2000.0</v>
      </c>
      <c r="F403" s="22">
        <v>0.0</v>
      </c>
      <c r="G403" s="22">
        <v>2.0</v>
      </c>
      <c r="K403" s="49">
        <f t="shared" si="17"/>
        <v>4000</v>
      </c>
    </row>
    <row r="404" ht="12.0" customHeight="1">
      <c r="A404" s="22"/>
      <c r="B404" s="22"/>
      <c r="C404" s="27" t="s">
        <v>1233</v>
      </c>
      <c r="D404" s="22" t="s">
        <v>3526</v>
      </c>
      <c r="E404" s="27">
        <v>2000.0</v>
      </c>
      <c r="F404" s="22">
        <v>0.0</v>
      </c>
      <c r="G404" s="22">
        <v>2.0</v>
      </c>
      <c r="K404" s="49">
        <f t="shared" si="17"/>
        <v>4000</v>
      </c>
    </row>
    <row r="405" ht="12.0" customHeight="1">
      <c r="A405" s="22"/>
      <c r="B405" s="22"/>
      <c r="C405" s="27" t="s">
        <v>1240</v>
      </c>
      <c r="D405" s="22" t="s">
        <v>3527</v>
      </c>
      <c r="E405" s="27">
        <v>2000.0</v>
      </c>
      <c r="F405" s="22">
        <v>0.0</v>
      </c>
      <c r="G405" s="22">
        <v>2.0</v>
      </c>
      <c r="K405" s="49">
        <f t="shared" si="17"/>
        <v>4000</v>
      </c>
    </row>
    <row r="406" ht="12.0" customHeight="1">
      <c r="A406" s="22"/>
      <c r="B406" s="22"/>
      <c r="C406" s="27" t="s">
        <v>1247</v>
      </c>
      <c r="D406" s="22" t="s">
        <v>3528</v>
      </c>
      <c r="E406" s="27">
        <v>300.0</v>
      </c>
      <c r="F406" s="22">
        <v>0.0</v>
      </c>
      <c r="G406" s="22">
        <v>1.0</v>
      </c>
      <c r="K406" s="49">
        <f t="shared" si="17"/>
        <v>300</v>
      </c>
    </row>
    <row r="407" ht="12.0" customHeight="1">
      <c r="A407" s="22"/>
      <c r="B407" s="22"/>
      <c r="C407" s="27" t="s">
        <v>1254</v>
      </c>
      <c r="D407" s="22" t="s">
        <v>3529</v>
      </c>
      <c r="E407" s="27">
        <v>1200.0</v>
      </c>
      <c r="F407" s="22">
        <v>0.0</v>
      </c>
      <c r="G407" s="22">
        <v>2.0</v>
      </c>
      <c r="K407" s="49">
        <f t="shared" si="17"/>
        <v>2400</v>
      </c>
    </row>
    <row r="408" ht="12.0" customHeight="1">
      <c r="A408" s="22"/>
      <c r="B408" s="22"/>
      <c r="C408" s="27" t="s">
        <v>1264</v>
      </c>
      <c r="D408" s="22" t="s">
        <v>3530</v>
      </c>
      <c r="E408" s="27">
        <v>300.0</v>
      </c>
      <c r="F408" s="22">
        <v>0.0</v>
      </c>
      <c r="G408" s="22">
        <v>1.0</v>
      </c>
      <c r="K408" s="49">
        <f t="shared" si="17"/>
        <v>300</v>
      </c>
    </row>
    <row r="409" ht="12.0" customHeight="1">
      <c r="A409" s="22"/>
      <c r="B409" s="22"/>
      <c r="C409" s="27" t="s">
        <v>1271</v>
      </c>
      <c r="D409" s="22" t="s">
        <v>3531</v>
      </c>
      <c r="E409" s="27">
        <v>200.0</v>
      </c>
      <c r="F409" s="22">
        <v>0.0</v>
      </c>
      <c r="G409" s="22">
        <v>1.0</v>
      </c>
      <c r="K409" s="49">
        <f t="shared" si="17"/>
        <v>200</v>
      </c>
    </row>
    <row r="410" ht="12.0" customHeight="1">
      <c r="A410" s="22"/>
      <c r="B410" s="22"/>
      <c r="C410" s="27" t="s">
        <v>1281</v>
      </c>
      <c r="D410" s="22" t="s">
        <v>3532</v>
      </c>
      <c r="E410" s="27">
        <v>100.0</v>
      </c>
      <c r="F410" s="22">
        <v>0.0</v>
      </c>
      <c r="G410" s="22">
        <v>1.0</v>
      </c>
      <c r="K410" s="49">
        <f t="shared" si="17"/>
        <v>100</v>
      </c>
    </row>
    <row r="411" ht="12.0" customHeight="1">
      <c r="A411" s="22"/>
      <c r="B411" s="22"/>
      <c r="C411" s="27" t="s">
        <v>1290</v>
      </c>
      <c r="D411" s="22" t="s">
        <v>3534</v>
      </c>
      <c r="E411" s="27">
        <v>2000.0</v>
      </c>
      <c r="F411" s="22">
        <v>0.0</v>
      </c>
      <c r="G411" s="22">
        <v>2.0</v>
      </c>
      <c r="K411" s="49">
        <f t="shared" si="17"/>
        <v>4000</v>
      </c>
    </row>
    <row r="412" ht="12.0" customHeight="1">
      <c r="A412" s="22"/>
      <c r="B412" s="22"/>
      <c r="C412" s="27" t="s">
        <v>1297</v>
      </c>
      <c r="D412" s="22" t="s">
        <v>3535</v>
      </c>
      <c r="E412" s="27">
        <v>2000.0</v>
      </c>
      <c r="F412" s="22">
        <v>0.0</v>
      </c>
      <c r="G412" s="22">
        <v>2.0</v>
      </c>
      <c r="K412" s="49">
        <f t="shared" si="17"/>
        <v>4000</v>
      </c>
    </row>
    <row r="413" ht="12.0" customHeight="1">
      <c r="A413" s="22"/>
      <c r="B413" s="22"/>
      <c r="C413" s="27" t="s">
        <v>1305</v>
      </c>
      <c r="D413" s="22" t="s">
        <v>3536</v>
      </c>
      <c r="E413" s="27">
        <v>2000.0</v>
      </c>
      <c r="F413" s="22">
        <v>0.0</v>
      </c>
      <c r="G413" s="22">
        <v>2.0</v>
      </c>
      <c r="K413" s="49">
        <f t="shared" si="17"/>
        <v>4000</v>
      </c>
    </row>
    <row r="414" ht="12.0" customHeight="1">
      <c r="A414" s="22"/>
      <c r="B414" s="22"/>
      <c r="C414" s="27" t="s">
        <v>1311</v>
      </c>
      <c r="D414" s="22" t="s">
        <v>3537</v>
      </c>
      <c r="E414" s="27">
        <v>2000.0</v>
      </c>
      <c r="F414" s="22">
        <v>0.0</v>
      </c>
      <c r="G414" s="22">
        <v>2.0</v>
      </c>
      <c r="K414" s="49">
        <f t="shared" si="17"/>
        <v>4000</v>
      </c>
    </row>
    <row r="415" ht="12.0" customHeight="1">
      <c r="A415" s="22"/>
      <c r="B415" s="22"/>
      <c r="C415" s="27" t="s">
        <v>1316</v>
      </c>
      <c r="D415" s="22" t="s">
        <v>3538</v>
      </c>
      <c r="E415" s="27">
        <v>2400.0</v>
      </c>
      <c r="F415" s="22">
        <v>0.0</v>
      </c>
      <c r="G415" s="22">
        <v>2.0</v>
      </c>
      <c r="K415" s="49">
        <f t="shared" si="17"/>
        <v>4800</v>
      </c>
    </row>
    <row r="416" ht="12.0" customHeight="1">
      <c r="A416" s="22"/>
      <c r="B416" s="22"/>
      <c r="C416" s="27" t="s">
        <v>1319</v>
      </c>
      <c r="D416" s="22" t="s">
        <v>3539</v>
      </c>
      <c r="E416" s="27">
        <v>300.0</v>
      </c>
      <c r="F416" s="22">
        <v>0.0</v>
      </c>
      <c r="G416" s="22">
        <v>1.0</v>
      </c>
      <c r="K416" s="49">
        <f t="shared" si="17"/>
        <v>300</v>
      </c>
    </row>
    <row r="417" ht="12.0" customHeight="1">
      <c r="A417" s="22"/>
      <c r="B417" s="22"/>
      <c r="C417" s="27" t="s">
        <v>1321</v>
      </c>
      <c r="D417" s="22" t="s">
        <v>3540</v>
      </c>
      <c r="E417" s="27">
        <v>50.0</v>
      </c>
      <c r="F417" s="22">
        <v>0.0</v>
      </c>
      <c r="G417" s="22">
        <v>1.0</v>
      </c>
      <c r="K417" s="49">
        <f t="shared" si="17"/>
        <v>50</v>
      </c>
    </row>
    <row r="418" ht="12.0" customHeight="1">
      <c r="A418" s="22"/>
      <c r="B418" s="22"/>
      <c r="C418" s="27" t="s">
        <v>1328</v>
      </c>
      <c r="D418" s="22" t="s">
        <v>3541</v>
      </c>
      <c r="E418" s="27">
        <v>1000.0</v>
      </c>
      <c r="F418" s="22">
        <v>1.0</v>
      </c>
      <c r="G418" s="22">
        <v>3.0</v>
      </c>
      <c r="K418" s="49">
        <f t="shared" si="17"/>
        <v>6000</v>
      </c>
    </row>
    <row r="419" ht="12.0" customHeight="1">
      <c r="A419" s="22"/>
      <c r="B419" s="22"/>
      <c r="C419" s="27" t="s">
        <v>1330</v>
      </c>
      <c r="D419" s="22" t="s">
        <v>3542</v>
      </c>
      <c r="E419" s="27">
        <v>300.0</v>
      </c>
      <c r="F419" s="22">
        <v>1.0</v>
      </c>
      <c r="G419" s="22">
        <v>3.0</v>
      </c>
      <c r="K419" s="49">
        <f t="shared" si="17"/>
        <v>3900</v>
      </c>
    </row>
    <row r="420" ht="12.0" customHeight="1">
      <c r="A420" s="22"/>
      <c r="B420" s="22"/>
      <c r="C420" s="27" t="s">
        <v>1333</v>
      </c>
      <c r="D420" s="22" t="s">
        <v>3543</v>
      </c>
      <c r="E420" s="27">
        <v>1600.0</v>
      </c>
      <c r="F420" s="22">
        <v>0.0</v>
      </c>
      <c r="G420" s="22">
        <v>2.0</v>
      </c>
      <c r="K420" s="49">
        <f t="shared" si="17"/>
        <v>3200</v>
      </c>
    </row>
    <row r="421" ht="12.0" customHeight="1">
      <c r="A421" s="22"/>
      <c r="B421" s="22"/>
      <c r="C421" s="27" t="s">
        <v>1334</v>
      </c>
      <c r="D421" s="27" t="s">
        <v>3544</v>
      </c>
      <c r="E421" s="27">
        <v>2000.0</v>
      </c>
      <c r="F421" s="22">
        <v>1.0</v>
      </c>
      <c r="G421" s="22">
        <v>3.0</v>
      </c>
      <c r="K421" s="49">
        <f t="shared" si="17"/>
        <v>9000</v>
      </c>
      <c r="L421" s="27" t="s">
        <v>3545</v>
      </c>
    </row>
    <row r="422" ht="12.0" customHeight="1">
      <c r="A422" s="22"/>
      <c r="B422" s="22"/>
      <c r="C422" s="27" t="s">
        <v>1338</v>
      </c>
      <c r="D422" s="27" t="s">
        <v>3546</v>
      </c>
      <c r="E422" s="27">
        <v>2000.0</v>
      </c>
      <c r="F422" s="22">
        <v>1.0</v>
      </c>
      <c r="G422" s="22">
        <v>3.0</v>
      </c>
      <c r="K422" s="49">
        <f t="shared" si="17"/>
        <v>9000</v>
      </c>
      <c r="L422" s="27" t="s">
        <v>3545</v>
      </c>
    </row>
    <row r="423" ht="12.0" customHeight="1">
      <c r="A423" s="22"/>
      <c r="B423" s="22"/>
      <c r="C423" s="27" t="s">
        <v>1341</v>
      </c>
      <c r="D423" s="22" t="s">
        <v>3547</v>
      </c>
      <c r="E423" s="22">
        <v>50.0</v>
      </c>
      <c r="F423" s="22">
        <v>0.0</v>
      </c>
      <c r="G423" s="22">
        <v>1.0</v>
      </c>
      <c r="K423" s="49">
        <f t="shared" si="17"/>
        <v>50</v>
      </c>
    </row>
    <row r="424" ht="12.0" customHeight="1">
      <c r="A424" s="22"/>
      <c r="B424" s="22"/>
      <c r="C424" s="27"/>
      <c r="D424" s="22"/>
      <c r="K424" s="49"/>
    </row>
    <row r="425" ht="12.0" customHeight="1">
      <c r="A425" s="56" t="s">
        <v>3548</v>
      </c>
      <c r="B425" s="22"/>
      <c r="C425" s="27"/>
      <c r="D425" s="22"/>
      <c r="K425" s="49"/>
    </row>
    <row r="426" ht="12.75" customHeight="1">
      <c r="A426" s="22"/>
      <c r="B426" s="22"/>
      <c r="C426" s="27"/>
      <c r="D426" s="22"/>
      <c r="K426" s="49"/>
    </row>
    <row r="427" ht="12.75" customHeight="1">
      <c r="A427" s="22"/>
      <c r="B427" s="22"/>
      <c r="C427" s="57" t="s">
        <v>2927</v>
      </c>
      <c r="D427" s="57" t="s">
        <v>2928</v>
      </c>
      <c r="E427" s="57" t="s">
        <v>12</v>
      </c>
      <c r="K427" s="66" t="s">
        <v>22</v>
      </c>
    </row>
    <row r="428" ht="12.0" customHeight="1">
      <c r="A428" s="22"/>
      <c r="B428" s="22"/>
      <c r="C428" s="27" t="s">
        <v>1525</v>
      </c>
      <c r="D428" s="22" t="s">
        <v>3549</v>
      </c>
      <c r="E428" s="22">
        <v>1.0</v>
      </c>
      <c r="K428" s="49">
        <v>50.0</v>
      </c>
      <c r="L428" s="27" t="s">
        <v>3550</v>
      </c>
    </row>
    <row r="429" ht="12.0" customHeight="1">
      <c r="A429" s="22"/>
      <c r="B429" s="22"/>
      <c r="C429" s="27" t="s">
        <v>1527</v>
      </c>
      <c r="D429" s="22" t="s">
        <v>3551</v>
      </c>
      <c r="E429" s="22">
        <v>1.0</v>
      </c>
      <c r="K429" s="49">
        <v>50.0</v>
      </c>
    </row>
    <row r="430" ht="12.0" customHeight="1">
      <c r="A430" s="22"/>
      <c r="B430" s="22"/>
      <c r="C430" s="27"/>
      <c r="D430" s="22"/>
      <c r="K430" s="49"/>
    </row>
    <row r="431" ht="12.0" customHeight="1">
      <c r="A431" s="56" t="s">
        <v>3552</v>
      </c>
      <c r="B431" s="22"/>
      <c r="C431" s="27"/>
      <c r="D431" s="22"/>
      <c r="K431" s="49"/>
    </row>
    <row r="432" ht="12.75" customHeight="1">
      <c r="A432" s="27"/>
      <c r="B432" s="22"/>
      <c r="C432" s="27"/>
      <c r="D432" s="22"/>
      <c r="K432" s="49"/>
    </row>
    <row r="433" ht="12.75" customHeight="1">
      <c r="A433" s="22"/>
      <c r="B433" s="22"/>
      <c r="C433" s="57" t="s">
        <v>2927</v>
      </c>
      <c r="D433" s="57" t="s">
        <v>3553</v>
      </c>
      <c r="E433" s="57" t="s">
        <v>12</v>
      </c>
      <c r="K433" s="66" t="s">
        <v>22</v>
      </c>
    </row>
    <row r="434" ht="12.0" customHeight="1">
      <c r="A434" s="22"/>
      <c r="B434" s="22"/>
      <c r="C434" s="27" t="s">
        <v>1545</v>
      </c>
      <c r="D434" s="22" t="s">
        <v>3554</v>
      </c>
      <c r="E434" s="22">
        <v>1.0</v>
      </c>
      <c r="K434" s="49">
        <v>50.0</v>
      </c>
      <c r="L434" s="27" t="s">
        <v>3550</v>
      </c>
    </row>
    <row r="435" ht="12.0" customHeight="1">
      <c r="A435" s="22"/>
      <c r="B435" s="22"/>
      <c r="C435" s="27" t="s">
        <v>1546</v>
      </c>
      <c r="D435" s="22" t="s">
        <v>3555</v>
      </c>
      <c r="E435" s="22">
        <v>1.0</v>
      </c>
      <c r="K435" s="49">
        <v>50.0</v>
      </c>
    </row>
    <row r="436" ht="12.0" customHeight="1">
      <c r="A436" s="22"/>
      <c r="B436" s="22"/>
      <c r="C436" s="27" t="s">
        <v>1549</v>
      </c>
      <c r="D436" s="22" t="s">
        <v>3556</v>
      </c>
      <c r="E436" s="22">
        <v>1.0</v>
      </c>
      <c r="K436" s="49">
        <v>50.0</v>
      </c>
    </row>
    <row r="437" ht="12.0" customHeight="1">
      <c r="A437" s="22"/>
      <c r="B437" s="22"/>
      <c r="C437" s="27" t="s">
        <v>1552</v>
      </c>
      <c r="D437" s="22" t="s">
        <v>3557</v>
      </c>
      <c r="E437" s="22">
        <v>1.0</v>
      </c>
      <c r="K437" s="49">
        <v>50.0</v>
      </c>
    </row>
    <row r="438" ht="12.0" customHeight="1">
      <c r="A438" s="22"/>
      <c r="B438" s="22"/>
      <c r="C438" s="27" t="s">
        <v>1553</v>
      </c>
      <c r="D438" s="22" t="s">
        <v>3558</v>
      </c>
      <c r="E438" s="22">
        <v>1.0</v>
      </c>
      <c r="K438" s="49">
        <v>50.0</v>
      </c>
    </row>
    <row r="439" ht="12.0" customHeight="1">
      <c r="A439" s="22"/>
      <c r="B439" s="22"/>
      <c r="C439" s="27" t="s">
        <v>1554</v>
      </c>
      <c r="D439" s="22" t="s">
        <v>3559</v>
      </c>
      <c r="E439" s="22">
        <v>1.0</v>
      </c>
      <c r="K439" s="49">
        <v>50.0</v>
      </c>
    </row>
    <row r="440" ht="12.0" customHeight="1">
      <c r="A440" s="22"/>
      <c r="B440" s="22"/>
      <c r="C440" s="27" t="s">
        <v>1557</v>
      </c>
      <c r="D440" s="22" t="s">
        <v>3560</v>
      </c>
      <c r="E440" s="22">
        <v>1.0</v>
      </c>
      <c r="K440" s="49">
        <v>50.0</v>
      </c>
    </row>
    <row r="441" ht="12.0" customHeight="1">
      <c r="A441" s="22"/>
      <c r="B441" s="22"/>
      <c r="C441" s="27" t="s">
        <v>1565</v>
      </c>
      <c r="D441" s="22" t="s">
        <v>3561</v>
      </c>
      <c r="E441" s="22">
        <v>1.0</v>
      </c>
      <c r="K441" s="49">
        <v>50.0</v>
      </c>
    </row>
    <row r="442" ht="12.0" customHeight="1">
      <c r="A442" s="22"/>
      <c r="B442" s="22"/>
      <c r="C442" s="27"/>
      <c r="D442" s="22"/>
      <c r="K442" s="49"/>
    </row>
    <row r="443" ht="12.0" customHeight="1">
      <c r="A443" s="56" t="s">
        <v>3562</v>
      </c>
      <c r="B443" s="22"/>
      <c r="C443" s="27"/>
      <c r="D443" s="22"/>
      <c r="K443" s="49"/>
    </row>
    <row r="444" ht="12.75" customHeight="1">
      <c r="A444" s="22"/>
      <c r="B444" s="22"/>
      <c r="C444" s="27"/>
      <c r="D444" s="22"/>
      <c r="J444" s="57" t="s">
        <v>2926</v>
      </c>
      <c r="K444" s="49"/>
    </row>
    <row r="445" ht="12.75" customHeight="1">
      <c r="A445" s="22"/>
      <c r="B445" s="22"/>
      <c r="C445" s="57" t="s">
        <v>2927</v>
      </c>
      <c r="D445" s="57" t="s">
        <v>2928</v>
      </c>
      <c r="E445" s="57" t="s">
        <v>3062</v>
      </c>
      <c r="F445" s="57" t="s">
        <v>12</v>
      </c>
      <c r="J445" s="83">
        <v>1.0</v>
      </c>
      <c r="K445" s="66" t="s">
        <v>22</v>
      </c>
    </row>
    <row r="446" ht="12.0" customHeight="1">
      <c r="A446" s="22"/>
      <c r="B446" s="22"/>
      <c r="C446" s="27" t="s">
        <v>1597</v>
      </c>
      <c r="D446" s="22" t="s">
        <v>3563</v>
      </c>
      <c r="E446" s="22">
        <v>4.0</v>
      </c>
      <c r="F446" s="22">
        <v>2.0</v>
      </c>
      <c r="K446" s="49">
        <f t="shared" ref="K446:K457" si="18">(50*E446)*$J$445</f>
        <v>200</v>
      </c>
    </row>
    <row r="447" ht="12.0" customHeight="1">
      <c r="A447" s="22"/>
      <c r="B447" s="22"/>
      <c r="C447" s="27" t="s">
        <v>1617</v>
      </c>
      <c r="D447" s="22" t="s">
        <v>3564</v>
      </c>
      <c r="E447" s="22">
        <v>4.0</v>
      </c>
      <c r="F447" s="22">
        <v>2.0</v>
      </c>
      <c r="K447" s="49">
        <f t="shared" si="18"/>
        <v>200</v>
      </c>
    </row>
    <row r="448" ht="12.0" customHeight="1">
      <c r="A448" s="22"/>
      <c r="B448" s="22"/>
      <c r="C448" s="27" t="s">
        <v>1627</v>
      </c>
      <c r="D448" s="22" t="s">
        <v>3565</v>
      </c>
      <c r="E448" s="22">
        <v>4.0</v>
      </c>
      <c r="F448" s="22">
        <v>2.0</v>
      </c>
      <c r="K448" s="49">
        <f t="shared" si="18"/>
        <v>200</v>
      </c>
    </row>
    <row r="449" ht="12.0" customHeight="1">
      <c r="A449" s="22"/>
      <c r="B449" s="22"/>
      <c r="C449" s="27" t="s">
        <v>1637</v>
      </c>
      <c r="D449" s="22" t="s">
        <v>3566</v>
      </c>
      <c r="E449" s="22">
        <v>5.0</v>
      </c>
      <c r="F449" s="22">
        <v>2.0</v>
      </c>
      <c r="K449" s="49">
        <f t="shared" si="18"/>
        <v>250</v>
      </c>
    </row>
    <row r="450" ht="12.0" customHeight="1">
      <c r="A450" s="22"/>
      <c r="B450" s="22"/>
      <c r="C450" s="27" t="s">
        <v>1648</v>
      </c>
      <c r="D450" s="22" t="s">
        <v>3567</v>
      </c>
      <c r="E450" s="22">
        <v>5.0</v>
      </c>
      <c r="F450" s="22">
        <v>2.0</v>
      </c>
      <c r="K450" s="49">
        <f t="shared" si="18"/>
        <v>250</v>
      </c>
    </row>
    <row r="451" ht="12.0" customHeight="1">
      <c r="A451" s="22"/>
      <c r="B451" s="22"/>
      <c r="C451" s="27" t="s">
        <v>1659</v>
      </c>
      <c r="D451" s="22" t="s">
        <v>3568</v>
      </c>
      <c r="E451" s="22">
        <v>1.0</v>
      </c>
      <c r="F451" s="22">
        <v>1.0</v>
      </c>
      <c r="K451" s="49">
        <f t="shared" si="18"/>
        <v>50</v>
      </c>
    </row>
    <row r="452" ht="12.0" customHeight="1">
      <c r="A452" s="22"/>
      <c r="B452" s="22"/>
      <c r="C452" s="27" t="s">
        <v>1669</v>
      </c>
      <c r="D452" s="22" t="s">
        <v>3569</v>
      </c>
      <c r="E452" s="22">
        <v>2.0</v>
      </c>
      <c r="F452" s="22">
        <v>2.0</v>
      </c>
      <c r="K452" s="49">
        <f t="shared" si="18"/>
        <v>100</v>
      </c>
    </row>
    <row r="453" ht="12.0" customHeight="1">
      <c r="A453" s="22"/>
      <c r="B453" s="22"/>
      <c r="C453" s="27" t="s">
        <v>1674</v>
      </c>
      <c r="D453" s="22" t="s">
        <v>3570</v>
      </c>
      <c r="E453" s="22">
        <v>2.0</v>
      </c>
      <c r="F453" s="22">
        <v>1.0</v>
      </c>
      <c r="K453" s="49">
        <f t="shared" si="18"/>
        <v>100</v>
      </c>
    </row>
    <row r="454" ht="12.0" customHeight="1">
      <c r="A454" s="22"/>
      <c r="B454" s="22"/>
      <c r="C454" s="27" t="s">
        <v>1679</v>
      </c>
      <c r="D454" s="22" t="s">
        <v>3571</v>
      </c>
      <c r="E454" s="22">
        <v>3.0</v>
      </c>
      <c r="F454" s="22">
        <v>2.0</v>
      </c>
      <c r="K454" s="49">
        <f t="shared" si="18"/>
        <v>150</v>
      </c>
    </row>
    <row r="455" ht="12.0" customHeight="1">
      <c r="A455" s="22"/>
      <c r="B455" s="22"/>
      <c r="C455" s="27" t="s">
        <v>1679</v>
      </c>
      <c r="D455" s="22" t="s">
        <v>3572</v>
      </c>
      <c r="E455" s="22">
        <v>3.0</v>
      </c>
      <c r="F455" s="22">
        <v>2.0</v>
      </c>
      <c r="K455" s="49">
        <f t="shared" si="18"/>
        <v>150</v>
      </c>
    </row>
    <row r="456" ht="12.0" customHeight="1">
      <c r="A456" s="22"/>
      <c r="B456" s="22"/>
      <c r="C456" s="27" t="s">
        <v>1688</v>
      </c>
      <c r="D456" s="22" t="s">
        <v>3573</v>
      </c>
      <c r="E456" s="22">
        <v>1.0</v>
      </c>
      <c r="F456" s="22">
        <v>1.0</v>
      </c>
      <c r="K456" s="49">
        <f t="shared" si="18"/>
        <v>50</v>
      </c>
    </row>
    <row r="457" ht="12.0" customHeight="1">
      <c r="A457" s="22"/>
      <c r="B457" s="22"/>
      <c r="C457" s="27" t="s">
        <v>1691</v>
      </c>
      <c r="D457" s="22" t="s">
        <v>3574</v>
      </c>
      <c r="E457" s="22">
        <v>2.0</v>
      </c>
      <c r="F457" s="22">
        <v>1.0</v>
      </c>
      <c r="K457" s="49">
        <f t="shared" si="18"/>
        <v>100</v>
      </c>
    </row>
    <row r="458" ht="12.0" customHeight="1">
      <c r="A458" s="22"/>
      <c r="B458" s="22"/>
      <c r="C458" s="22"/>
      <c r="D458" s="22"/>
      <c r="K458" s="49"/>
    </row>
    <row r="459" ht="12.0" customHeight="1">
      <c r="A459" s="56" t="s">
        <v>2864</v>
      </c>
      <c r="B459" s="22"/>
      <c r="C459" s="22"/>
      <c r="D459" s="22"/>
      <c r="K459" s="49"/>
    </row>
    <row r="460" ht="12.0" customHeight="1">
      <c r="A460" s="56"/>
      <c r="B460" s="22"/>
      <c r="C460" s="57" t="s">
        <v>2927</v>
      </c>
      <c r="D460" s="57" t="s">
        <v>2928</v>
      </c>
      <c r="E460" s="84" t="s">
        <v>12</v>
      </c>
      <c r="F460" s="57"/>
      <c r="G460" s="57"/>
      <c r="H460" s="57"/>
      <c r="I460" s="57"/>
      <c r="J460" s="57"/>
      <c r="K460" s="69" t="s">
        <v>22</v>
      </c>
    </row>
    <row r="461" ht="12.0" customHeight="1">
      <c r="A461" s="56"/>
      <c r="B461" s="22"/>
      <c r="C461" s="22"/>
      <c r="D461" s="22" t="s">
        <v>3575</v>
      </c>
      <c r="E461" s="22">
        <v>2.0</v>
      </c>
      <c r="F461" s="6"/>
      <c r="K461" s="49">
        <v>750.0</v>
      </c>
      <c r="L461" s="27" t="s">
        <v>3550</v>
      </c>
    </row>
    <row r="462" ht="12.0" customHeight="1">
      <c r="A462" s="56"/>
      <c r="B462" s="22"/>
      <c r="C462" s="22"/>
      <c r="D462" s="22" t="s">
        <v>3576</v>
      </c>
      <c r="E462" s="22">
        <v>2.0</v>
      </c>
      <c r="K462" s="49">
        <v>10000.0</v>
      </c>
    </row>
    <row r="463" ht="12.0" customHeight="1">
      <c r="A463" s="22"/>
      <c r="B463" s="22"/>
      <c r="C463" s="22"/>
      <c r="D463" s="22"/>
      <c r="K463" s="49"/>
    </row>
    <row r="464" ht="12.0" customHeight="1">
      <c r="A464" s="56" t="s">
        <v>3577</v>
      </c>
      <c r="B464" s="22"/>
      <c r="C464" s="22"/>
      <c r="D464" s="22"/>
      <c r="K464" s="49"/>
    </row>
    <row r="465" ht="12.0" customHeight="1">
      <c r="A465" s="22"/>
      <c r="B465" s="22"/>
      <c r="C465" s="57" t="s">
        <v>2927</v>
      </c>
      <c r="D465" s="57" t="s">
        <v>2928</v>
      </c>
      <c r="E465" s="57"/>
      <c r="F465" s="57"/>
      <c r="G465" s="57"/>
      <c r="H465" s="57"/>
      <c r="I465" s="57"/>
      <c r="J465" s="57"/>
      <c r="K465" s="69" t="s">
        <v>22</v>
      </c>
    </row>
    <row r="466" ht="12.0" customHeight="1">
      <c r="A466" s="22"/>
      <c r="B466" s="22"/>
      <c r="C466" s="22"/>
      <c r="D466" s="22" t="s">
        <v>3578</v>
      </c>
      <c r="E466" s="22">
        <v>2.0</v>
      </c>
      <c r="K466" s="49">
        <v>10000.0</v>
      </c>
      <c r="L466" s="27" t="s">
        <v>3550</v>
      </c>
    </row>
    <row r="467" ht="12.0" customHeight="1">
      <c r="A467" s="22"/>
      <c r="B467" s="22"/>
      <c r="C467" s="22"/>
      <c r="D467" s="22" t="s">
        <v>3579</v>
      </c>
      <c r="E467" s="22">
        <v>2.0</v>
      </c>
      <c r="K467" s="49">
        <v>1000.0</v>
      </c>
    </row>
    <row r="468" ht="12.0" customHeight="1">
      <c r="A468" s="22"/>
      <c r="B468" s="22"/>
      <c r="C468" s="22"/>
      <c r="D468" s="36" t="s">
        <v>3580</v>
      </c>
      <c r="E468" s="6">
        <v>2.0</v>
      </c>
      <c r="K468" s="61">
        <v>1000.0</v>
      </c>
      <c r="L468" s="6"/>
    </row>
    <row r="469" ht="12.0" customHeight="1">
      <c r="A469" s="22"/>
      <c r="B469" s="22"/>
      <c r="C469" s="22"/>
      <c r="D469" s="22"/>
      <c r="K469" s="49"/>
    </row>
    <row r="470" ht="12.0" customHeight="1">
      <c r="A470" s="56" t="s">
        <v>2673</v>
      </c>
      <c r="B470" s="22"/>
      <c r="C470" s="22"/>
      <c r="D470" s="22"/>
      <c r="K470" s="49"/>
    </row>
    <row r="471" ht="12.0" customHeight="1">
      <c r="A471" s="57"/>
      <c r="B471" s="57"/>
      <c r="C471" s="57" t="s">
        <v>2927</v>
      </c>
      <c r="D471" s="57" t="s">
        <v>2928</v>
      </c>
      <c r="E471" s="57"/>
      <c r="F471" s="57"/>
      <c r="G471" s="57" t="s">
        <v>12</v>
      </c>
      <c r="H471" s="57"/>
      <c r="I471" s="57"/>
      <c r="J471" s="57"/>
      <c r="K471" s="69" t="s">
        <v>22</v>
      </c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</row>
    <row r="472" ht="12.0" customHeight="1">
      <c r="A472" s="22"/>
      <c r="B472" s="22"/>
      <c r="C472" s="22"/>
      <c r="D472" s="27" t="s">
        <v>3581</v>
      </c>
      <c r="G472" s="22">
        <v>1.0</v>
      </c>
      <c r="K472" s="49">
        <v>20.0</v>
      </c>
      <c r="L472" s="27" t="s">
        <v>3550</v>
      </c>
    </row>
    <row r="473" ht="12.0" customHeight="1">
      <c r="A473" s="22"/>
      <c r="B473" s="22"/>
      <c r="C473" s="22"/>
      <c r="D473" s="22" t="s">
        <v>3582</v>
      </c>
      <c r="G473" s="22">
        <v>1.0</v>
      </c>
      <c r="K473" s="49">
        <v>300.0</v>
      </c>
    </row>
    <row r="474" ht="12.0" customHeight="1">
      <c r="A474" s="22"/>
      <c r="B474" s="22"/>
      <c r="C474" s="22"/>
      <c r="D474" s="22" t="s">
        <v>3583</v>
      </c>
      <c r="G474" s="22">
        <v>1.0</v>
      </c>
      <c r="K474" s="49">
        <v>40.0</v>
      </c>
    </row>
    <row r="475" ht="12.0" customHeight="1">
      <c r="A475" s="22"/>
      <c r="B475" s="22"/>
      <c r="C475" s="22"/>
      <c r="D475" s="22" t="s">
        <v>3584</v>
      </c>
      <c r="G475" s="22">
        <v>1.0</v>
      </c>
      <c r="K475" s="49">
        <v>40.0</v>
      </c>
    </row>
    <row r="476" ht="12.0" customHeight="1">
      <c r="A476" s="22"/>
      <c r="B476" s="22"/>
      <c r="C476" s="22"/>
      <c r="D476" s="22" t="s">
        <v>3585</v>
      </c>
      <c r="G476" s="22">
        <v>1.0</v>
      </c>
      <c r="K476" s="49">
        <v>400.0</v>
      </c>
    </row>
    <row r="477" ht="12.0" customHeight="1">
      <c r="A477" s="22"/>
      <c r="B477" s="22"/>
      <c r="C477" s="22"/>
      <c r="D477" s="22" t="s">
        <v>3586</v>
      </c>
      <c r="G477" s="22">
        <v>1.0</v>
      </c>
      <c r="K477" s="49">
        <v>20.0</v>
      </c>
    </row>
    <row r="478" ht="12.0" customHeight="1">
      <c r="A478" s="22"/>
      <c r="B478" s="22"/>
      <c r="C478" s="22"/>
      <c r="D478" s="22" t="s">
        <v>3587</v>
      </c>
      <c r="G478" s="22">
        <v>1.0</v>
      </c>
      <c r="K478" s="49">
        <v>600.0</v>
      </c>
    </row>
    <row r="479" ht="12.0" customHeight="1">
      <c r="A479" s="22"/>
      <c r="B479" s="22"/>
      <c r="C479" s="22"/>
      <c r="D479" s="22" t="s">
        <v>3588</v>
      </c>
      <c r="G479" s="22">
        <v>1.0</v>
      </c>
      <c r="K479" s="49">
        <v>10000.0</v>
      </c>
    </row>
    <row r="480" ht="12.0" customHeight="1">
      <c r="A480" s="22"/>
      <c r="B480" s="22"/>
      <c r="C480" s="22"/>
      <c r="D480" s="22" t="s">
        <v>3589</v>
      </c>
      <c r="G480" s="22">
        <v>1.0</v>
      </c>
      <c r="K480" s="49">
        <v>5000.0</v>
      </c>
    </row>
    <row r="481" ht="12.0" customHeight="1">
      <c r="A481" s="22"/>
      <c r="B481" s="22"/>
      <c r="C481" s="22"/>
      <c r="D481" s="22" t="s">
        <v>3590</v>
      </c>
      <c r="G481" s="22">
        <v>1.0</v>
      </c>
      <c r="K481" s="49">
        <v>250.0</v>
      </c>
    </row>
    <row r="482" ht="12.0" customHeight="1">
      <c r="A482" s="22"/>
      <c r="B482" s="22"/>
      <c r="C482" s="22"/>
      <c r="D482" s="22" t="s">
        <v>3591</v>
      </c>
      <c r="G482" s="22">
        <v>1.0</v>
      </c>
      <c r="K482" s="49">
        <v>800.0</v>
      </c>
    </row>
    <row r="483" ht="12.0" customHeight="1">
      <c r="A483" s="22"/>
      <c r="B483" s="22"/>
      <c r="C483" s="22"/>
      <c r="D483" s="22"/>
      <c r="K483" s="49"/>
    </row>
    <row r="484" ht="12.0" customHeight="1">
      <c r="A484" s="85" t="s">
        <v>2726</v>
      </c>
      <c r="B484" s="22"/>
      <c r="C484" s="22"/>
      <c r="D484" s="22"/>
      <c r="K484" s="49"/>
    </row>
    <row r="485" ht="12.0" customHeight="1">
      <c r="A485" s="22"/>
      <c r="B485" s="22"/>
      <c r="C485" s="86" t="s">
        <v>2927</v>
      </c>
      <c r="D485" s="86" t="s">
        <v>2928</v>
      </c>
      <c r="E485" s="87"/>
      <c r="F485" s="87"/>
      <c r="G485" s="29" t="s">
        <v>12</v>
      </c>
      <c r="H485" s="87"/>
      <c r="I485" s="87"/>
      <c r="J485" s="87"/>
      <c r="K485" s="88" t="s">
        <v>22</v>
      </c>
    </row>
    <row r="486" ht="12.0" customHeight="1">
      <c r="A486" s="22"/>
      <c r="B486" s="22"/>
      <c r="C486" s="22"/>
      <c r="D486" s="36" t="s">
        <v>3592</v>
      </c>
      <c r="G486" s="6">
        <v>1.0</v>
      </c>
      <c r="J486" s="6"/>
      <c r="K486" s="61">
        <v>20.0</v>
      </c>
      <c r="L486" s="27" t="s">
        <v>3550</v>
      </c>
    </row>
    <row r="487" ht="12.0" customHeight="1">
      <c r="A487" s="22"/>
      <c r="B487" s="22"/>
      <c r="C487" s="22"/>
      <c r="D487" s="36" t="s">
        <v>3593</v>
      </c>
      <c r="G487" s="6">
        <v>1.0</v>
      </c>
      <c r="J487" s="6"/>
      <c r="K487" s="61">
        <v>80.0</v>
      </c>
    </row>
    <row r="488" ht="12.0" customHeight="1">
      <c r="A488" s="22"/>
      <c r="B488" s="22"/>
      <c r="C488" s="22"/>
      <c r="D488" s="36" t="s">
        <v>3594</v>
      </c>
      <c r="G488" s="6">
        <v>1.0</v>
      </c>
      <c r="K488" s="61">
        <v>100.0</v>
      </c>
    </row>
    <row r="489" ht="12.0" customHeight="1">
      <c r="A489" s="22"/>
      <c r="B489" s="22"/>
      <c r="C489" s="22"/>
      <c r="D489" s="36" t="s">
        <v>3595</v>
      </c>
      <c r="G489" s="6">
        <v>1.0</v>
      </c>
      <c r="J489" s="6"/>
      <c r="K489" s="61">
        <v>80.0</v>
      </c>
    </row>
    <row r="490" ht="12.0" customHeight="1">
      <c r="A490" s="22"/>
      <c r="B490" s="22"/>
      <c r="C490" s="22"/>
      <c r="D490" s="36" t="s">
        <v>3596</v>
      </c>
      <c r="G490" s="6">
        <v>1.0</v>
      </c>
      <c r="J490" s="6"/>
      <c r="K490" s="61">
        <v>500.0</v>
      </c>
    </row>
    <row r="491" ht="12.0" customHeight="1">
      <c r="A491" s="22"/>
      <c r="B491" s="22"/>
      <c r="C491" s="22"/>
      <c r="D491" s="36" t="s">
        <v>3597</v>
      </c>
      <c r="G491" s="6">
        <v>1.0</v>
      </c>
      <c r="K491" s="61">
        <v>350.0</v>
      </c>
    </row>
    <row r="492" ht="12.0" customHeight="1">
      <c r="A492" s="22"/>
      <c r="B492" s="22"/>
      <c r="C492" s="22"/>
      <c r="D492" s="36" t="s">
        <v>3598</v>
      </c>
      <c r="G492" s="6">
        <v>1.0</v>
      </c>
      <c r="K492" s="61">
        <v>500.0</v>
      </c>
    </row>
    <row r="493" ht="12.0" customHeight="1">
      <c r="A493" s="22"/>
      <c r="B493" s="22"/>
      <c r="C493" s="22"/>
      <c r="D493" s="22"/>
      <c r="K493" s="49"/>
    </row>
    <row r="494" ht="12.0" customHeight="1">
      <c r="A494" s="22"/>
      <c r="B494" s="22"/>
      <c r="C494" s="22"/>
      <c r="D494" s="22"/>
      <c r="K494" s="49"/>
    </row>
    <row r="495" ht="12.75" customHeight="1">
      <c r="A495" s="56" t="s">
        <v>2737</v>
      </c>
      <c r="B495" s="22"/>
      <c r="C495" s="22"/>
      <c r="D495" s="22"/>
      <c r="J495" s="57" t="s">
        <v>2926</v>
      </c>
      <c r="K495" s="49"/>
    </row>
    <row r="496" ht="12.75" customHeight="1">
      <c r="A496" s="56"/>
      <c r="B496" s="22"/>
      <c r="C496" s="57" t="s">
        <v>2927</v>
      </c>
      <c r="D496" s="57" t="s">
        <v>2928</v>
      </c>
      <c r="E496" s="57"/>
      <c r="F496" s="57" t="s">
        <v>3599</v>
      </c>
      <c r="G496" s="57" t="s">
        <v>12</v>
      </c>
      <c r="H496" s="57"/>
      <c r="I496" s="57"/>
      <c r="J496" s="58">
        <v>1.0</v>
      </c>
      <c r="K496" s="69" t="s">
        <v>22</v>
      </c>
    </row>
    <row r="497" ht="12.0" customHeight="1">
      <c r="A497" s="56"/>
      <c r="B497" s="22"/>
      <c r="C497" s="22"/>
      <c r="D497" s="22" t="s">
        <v>3600</v>
      </c>
      <c r="F497" s="22">
        <v>75.0</v>
      </c>
      <c r="G497" s="22">
        <v>1.0</v>
      </c>
      <c r="K497" s="49">
        <f t="shared" ref="K497:K512" si="19">F497/2*G497*$J$496+2</f>
        <v>39.5</v>
      </c>
    </row>
    <row r="498" ht="12.0" customHeight="1">
      <c r="A498" s="56"/>
      <c r="B498" s="22"/>
      <c r="C498" s="22"/>
      <c r="D498" s="22" t="s">
        <v>3601</v>
      </c>
      <c r="F498" s="22">
        <v>60.0</v>
      </c>
      <c r="G498" s="22">
        <v>1.0</v>
      </c>
      <c r="K498" s="49">
        <f t="shared" si="19"/>
        <v>32</v>
      </c>
    </row>
    <row r="499" ht="12.0" customHeight="1">
      <c r="A499" s="56"/>
      <c r="B499" s="22"/>
      <c r="C499" s="22"/>
      <c r="D499" s="22" t="s">
        <v>3602</v>
      </c>
      <c r="F499" s="22">
        <v>55.0</v>
      </c>
      <c r="G499" s="22">
        <v>1.0</v>
      </c>
      <c r="K499" s="49">
        <f t="shared" si="19"/>
        <v>29.5</v>
      </c>
    </row>
    <row r="500" ht="12.0" customHeight="1">
      <c r="A500" s="56"/>
      <c r="B500" s="22"/>
      <c r="C500" s="22"/>
      <c r="D500" s="22" t="s">
        <v>3603</v>
      </c>
      <c r="F500" s="22">
        <v>50.0</v>
      </c>
      <c r="G500" s="22">
        <v>1.0</v>
      </c>
      <c r="K500" s="49">
        <f t="shared" si="19"/>
        <v>27</v>
      </c>
    </row>
    <row r="501" ht="12.0" customHeight="1">
      <c r="A501" s="56"/>
      <c r="B501" s="22"/>
      <c r="C501" s="22"/>
      <c r="D501" s="22" t="s">
        <v>3604</v>
      </c>
      <c r="F501" s="22">
        <v>40.0</v>
      </c>
      <c r="G501" s="22">
        <v>1.0</v>
      </c>
      <c r="K501" s="49">
        <f t="shared" si="19"/>
        <v>22</v>
      </c>
    </row>
    <row r="502" ht="12.0" customHeight="1">
      <c r="A502" s="56"/>
      <c r="B502" s="22"/>
      <c r="C502" s="22"/>
      <c r="D502" s="22" t="s">
        <v>3605</v>
      </c>
      <c r="F502" s="22">
        <v>40.0</v>
      </c>
      <c r="G502" s="22">
        <v>1.0</v>
      </c>
      <c r="K502" s="49">
        <f t="shared" si="19"/>
        <v>22</v>
      </c>
    </row>
    <row r="503" ht="12.0" customHeight="1">
      <c r="A503" s="56"/>
      <c r="B503" s="22"/>
      <c r="C503" s="22"/>
      <c r="D503" s="22" t="s">
        <v>3606</v>
      </c>
      <c r="F503" s="22">
        <v>40.0</v>
      </c>
      <c r="G503" s="22">
        <v>1.0</v>
      </c>
      <c r="K503" s="49">
        <f t="shared" si="19"/>
        <v>22</v>
      </c>
    </row>
    <row r="504" ht="12.0" customHeight="1">
      <c r="A504" s="56"/>
      <c r="B504" s="22"/>
      <c r="C504" s="22"/>
      <c r="D504" s="22" t="s">
        <v>3607</v>
      </c>
      <c r="F504" s="22">
        <v>30.0</v>
      </c>
      <c r="G504" s="22">
        <v>1.0</v>
      </c>
      <c r="K504" s="49">
        <f t="shared" si="19"/>
        <v>17</v>
      </c>
    </row>
    <row r="505" ht="12.0" customHeight="1">
      <c r="A505" s="56"/>
      <c r="B505" s="22"/>
      <c r="C505" s="22"/>
      <c r="D505" s="22" t="s">
        <v>3608</v>
      </c>
      <c r="F505" s="22">
        <v>30.0</v>
      </c>
      <c r="G505" s="22">
        <v>1.0</v>
      </c>
      <c r="K505" s="49">
        <f t="shared" si="19"/>
        <v>17</v>
      </c>
    </row>
    <row r="506" ht="12.0" customHeight="1">
      <c r="A506" s="56"/>
      <c r="B506" s="22"/>
      <c r="C506" s="22"/>
      <c r="D506" s="22" t="s">
        <v>3609</v>
      </c>
      <c r="F506" s="22">
        <v>30.0</v>
      </c>
      <c r="G506" s="22">
        <v>1.0</v>
      </c>
      <c r="K506" s="49">
        <f t="shared" si="19"/>
        <v>17</v>
      </c>
    </row>
    <row r="507" ht="12.0" customHeight="1">
      <c r="A507" s="22"/>
      <c r="B507" s="22"/>
      <c r="C507" s="22"/>
      <c r="D507" s="22" t="s">
        <v>3610</v>
      </c>
      <c r="F507" s="22">
        <v>25.0</v>
      </c>
      <c r="G507" s="22">
        <v>1.0</v>
      </c>
      <c r="K507" s="49">
        <f t="shared" si="19"/>
        <v>14.5</v>
      </c>
    </row>
    <row r="508" ht="12.0" customHeight="1">
      <c r="A508" s="22"/>
      <c r="B508" s="22"/>
      <c r="C508" s="22"/>
      <c r="D508" s="22" t="s">
        <v>3611</v>
      </c>
      <c r="F508" s="22">
        <v>20.0</v>
      </c>
      <c r="G508" s="22">
        <v>1.0</v>
      </c>
      <c r="K508" s="49">
        <f t="shared" si="19"/>
        <v>12</v>
      </c>
    </row>
    <row r="509" ht="12.0" customHeight="1">
      <c r="A509" s="22"/>
      <c r="B509" s="22"/>
      <c r="C509" s="22"/>
      <c r="D509" s="22" t="s">
        <v>3612</v>
      </c>
      <c r="F509" s="22">
        <v>15.0</v>
      </c>
      <c r="G509" s="22">
        <v>1.0</v>
      </c>
      <c r="K509" s="49">
        <f t="shared" si="19"/>
        <v>9.5</v>
      </c>
    </row>
    <row r="510" ht="12.0" customHeight="1">
      <c r="A510" s="22"/>
      <c r="B510" s="22"/>
      <c r="C510" s="22"/>
      <c r="D510" s="22" t="s">
        <v>3613</v>
      </c>
      <c r="F510" s="22">
        <v>10.0</v>
      </c>
      <c r="G510" s="22">
        <v>1.0</v>
      </c>
      <c r="K510" s="49">
        <f t="shared" si="19"/>
        <v>7</v>
      </c>
    </row>
    <row r="511" ht="12.0" customHeight="1">
      <c r="A511" s="22"/>
      <c r="B511" s="22"/>
      <c r="C511" s="22"/>
      <c r="D511" s="22" t="s">
        <v>3614</v>
      </c>
      <c r="F511" s="22">
        <v>5.0</v>
      </c>
      <c r="G511" s="22">
        <v>1.0</v>
      </c>
      <c r="K511" s="49">
        <f t="shared" si="19"/>
        <v>4.5</v>
      </c>
    </row>
    <row r="512" ht="12.0" customHeight="1">
      <c r="A512" s="22"/>
      <c r="B512" s="22"/>
      <c r="C512" s="22"/>
      <c r="D512" s="22" t="s">
        <v>3615</v>
      </c>
      <c r="F512" s="22">
        <v>0.0</v>
      </c>
      <c r="G512" s="22">
        <v>1.0</v>
      </c>
      <c r="K512" s="49">
        <f t="shared" si="19"/>
        <v>2</v>
      </c>
      <c r="L512" s="27" t="s">
        <v>3616</v>
      </c>
    </row>
    <row r="513" ht="12.0" customHeight="1">
      <c r="A513" s="22"/>
      <c r="B513" s="22"/>
      <c r="C513" s="22"/>
      <c r="D513" s="22"/>
      <c r="K513" s="49"/>
    </row>
    <row r="514" ht="12.75" customHeight="1">
      <c r="A514" s="56" t="s">
        <v>2810</v>
      </c>
      <c r="B514" s="22"/>
      <c r="C514" s="22"/>
      <c r="D514" s="22"/>
      <c r="J514" s="57" t="s">
        <v>2926</v>
      </c>
      <c r="K514" s="49"/>
    </row>
    <row r="515" ht="12.75" customHeight="1">
      <c r="A515" s="56"/>
      <c r="B515" s="22"/>
      <c r="C515" s="57" t="s">
        <v>2927</v>
      </c>
      <c r="D515" s="57" t="s">
        <v>2928</v>
      </c>
      <c r="E515" s="57"/>
      <c r="F515" s="57" t="s">
        <v>3617</v>
      </c>
      <c r="G515" s="57" t="s">
        <v>12</v>
      </c>
      <c r="H515" s="57"/>
      <c r="I515" s="57"/>
      <c r="J515" s="58">
        <v>1.0</v>
      </c>
      <c r="K515" s="69" t="s">
        <v>22</v>
      </c>
    </row>
    <row r="516" ht="12.0" customHeight="1">
      <c r="A516" s="22"/>
      <c r="B516" s="22"/>
      <c r="C516" s="22"/>
      <c r="D516" s="22" t="s">
        <v>3618</v>
      </c>
      <c r="F516" s="22">
        <v>100.0</v>
      </c>
      <c r="G516" s="22">
        <v>1.0</v>
      </c>
      <c r="K516" s="49">
        <f t="shared" ref="K516:K521" si="20">(F516/2)*G516*$J$515</f>
        <v>50</v>
      </c>
      <c r="T516" s="27"/>
    </row>
    <row r="517" ht="12.0" customHeight="1">
      <c r="A517" s="22"/>
      <c r="B517" s="22"/>
      <c r="C517" s="22"/>
      <c r="D517" s="22" t="s">
        <v>3619</v>
      </c>
      <c r="F517" s="22">
        <v>95.0</v>
      </c>
      <c r="G517" s="22">
        <v>1.0</v>
      </c>
      <c r="K517" s="49">
        <f t="shared" si="20"/>
        <v>47.5</v>
      </c>
    </row>
    <row r="518" ht="12.0" customHeight="1">
      <c r="A518" s="22"/>
      <c r="B518" s="22"/>
      <c r="C518" s="22"/>
      <c r="D518" s="22" t="s">
        <v>3620</v>
      </c>
      <c r="F518" s="22">
        <v>80.0</v>
      </c>
      <c r="G518" s="22">
        <v>1.0</v>
      </c>
      <c r="K518" s="49">
        <f t="shared" si="20"/>
        <v>40</v>
      </c>
    </row>
    <row r="519" ht="12.0" customHeight="1">
      <c r="A519" s="22"/>
      <c r="B519" s="22"/>
      <c r="C519" s="22"/>
      <c r="D519" s="22" t="s">
        <v>3621</v>
      </c>
      <c r="F519" s="22">
        <v>75.0</v>
      </c>
      <c r="G519" s="22">
        <v>1.0</v>
      </c>
      <c r="K519" s="49">
        <f t="shared" si="20"/>
        <v>37.5</v>
      </c>
    </row>
    <row r="520" ht="12.0" customHeight="1">
      <c r="A520" s="22"/>
      <c r="B520" s="22"/>
      <c r="C520" s="22"/>
      <c r="D520" s="22" t="s">
        <v>3622</v>
      </c>
      <c r="F520" s="22">
        <v>75.0</v>
      </c>
      <c r="G520" s="22">
        <v>1.0</v>
      </c>
      <c r="K520" s="49">
        <f t="shared" si="20"/>
        <v>37.5</v>
      </c>
    </row>
    <row r="521" ht="12.0" customHeight="1">
      <c r="A521" s="22"/>
      <c r="B521" s="22"/>
      <c r="C521" s="22"/>
      <c r="D521" s="22" t="s">
        <v>3623</v>
      </c>
      <c r="F521" s="22">
        <v>50.0</v>
      </c>
      <c r="G521" s="22">
        <v>1.0</v>
      </c>
      <c r="K521" s="49">
        <f t="shared" si="20"/>
        <v>25</v>
      </c>
    </row>
    <row r="522" ht="12.0" customHeight="1">
      <c r="A522" s="22"/>
      <c r="B522" s="22"/>
      <c r="C522" s="22"/>
      <c r="D522" s="22" t="s">
        <v>3624</v>
      </c>
      <c r="F522" s="22">
        <v>0.0</v>
      </c>
      <c r="G522" s="22">
        <v>1.0</v>
      </c>
      <c r="K522" s="49">
        <v>5.0</v>
      </c>
      <c r="L522" s="27" t="s">
        <v>3616</v>
      </c>
    </row>
    <row r="523" ht="12.0" customHeight="1">
      <c r="A523" s="22"/>
      <c r="B523" s="22"/>
      <c r="C523" s="22"/>
      <c r="D523" s="22"/>
      <c r="K523" s="49"/>
    </row>
    <row r="524" ht="12.0" customHeight="1">
      <c r="A524" s="22"/>
      <c r="B524" s="22"/>
      <c r="C524" s="22"/>
      <c r="D524" s="22"/>
      <c r="K524" s="49"/>
    </row>
    <row r="525" ht="12.75" customHeight="1">
      <c r="A525" s="56" t="s">
        <v>3625</v>
      </c>
      <c r="B525" s="22"/>
      <c r="C525" s="22"/>
      <c r="D525" s="22"/>
      <c r="J525" s="57" t="s">
        <v>2926</v>
      </c>
      <c r="K525" s="49"/>
    </row>
    <row r="526" ht="12.75" customHeight="1">
      <c r="A526" s="27"/>
      <c r="B526" s="22"/>
      <c r="C526" s="57" t="s">
        <v>2927</v>
      </c>
      <c r="D526" s="57" t="s">
        <v>2928</v>
      </c>
      <c r="E526" s="57"/>
      <c r="F526" s="57" t="s">
        <v>3626</v>
      </c>
      <c r="G526" s="57" t="s">
        <v>12</v>
      </c>
      <c r="H526" s="57"/>
      <c r="I526" s="57"/>
      <c r="J526" s="58">
        <v>10.0</v>
      </c>
      <c r="K526" s="69" t="s">
        <v>22</v>
      </c>
    </row>
    <row r="527" ht="12.0" customHeight="1">
      <c r="A527" s="22"/>
      <c r="B527" s="22"/>
      <c r="C527" s="27" t="s">
        <v>2854</v>
      </c>
      <c r="D527" s="27" t="s">
        <v>3627</v>
      </c>
      <c r="F527" s="22">
        <v>100.0</v>
      </c>
      <c r="G527" s="22">
        <v>1.0</v>
      </c>
      <c r="K527" s="49">
        <f t="shared" ref="K527:K529" si="21">F527*G527*$J$526</f>
        <v>1000</v>
      </c>
    </row>
    <row r="528" ht="12.0" customHeight="1">
      <c r="A528" s="22"/>
      <c r="B528" s="22"/>
      <c r="C528" s="27" t="s">
        <v>2855</v>
      </c>
      <c r="D528" s="27" t="s">
        <v>3628</v>
      </c>
      <c r="F528" s="22">
        <v>25.0</v>
      </c>
      <c r="G528" s="22">
        <v>1.0</v>
      </c>
      <c r="K528" s="49">
        <f t="shared" si="21"/>
        <v>250</v>
      </c>
    </row>
    <row r="529" ht="12.0" customHeight="1">
      <c r="A529" s="22"/>
      <c r="B529" s="22"/>
      <c r="C529" s="27" t="s">
        <v>2856</v>
      </c>
      <c r="D529" s="22" t="s">
        <v>3629</v>
      </c>
      <c r="F529" s="22">
        <v>10.0</v>
      </c>
      <c r="G529" s="22">
        <v>1.0</v>
      </c>
      <c r="K529" s="49">
        <f t="shared" si="21"/>
        <v>100</v>
      </c>
    </row>
    <row r="530" ht="12.0" customHeight="1">
      <c r="A530" s="22"/>
      <c r="B530" s="22"/>
      <c r="C530" s="27" t="s">
        <v>2857</v>
      </c>
      <c r="D530" s="60" t="s">
        <v>3630</v>
      </c>
      <c r="F530" s="22">
        <v>0.0</v>
      </c>
      <c r="G530" s="22">
        <v>3.0</v>
      </c>
      <c r="K530" s="49">
        <v>1000.0</v>
      </c>
      <c r="L530" s="60" t="s">
        <v>3631</v>
      </c>
    </row>
    <row r="531" ht="12.0" customHeight="1">
      <c r="A531" s="22"/>
      <c r="B531" s="22"/>
      <c r="C531" s="22"/>
      <c r="D531" s="22"/>
      <c r="K531" s="49"/>
    </row>
    <row r="532" ht="12.0" customHeight="1">
      <c r="A532" s="56" t="s">
        <v>2858</v>
      </c>
      <c r="B532" s="22"/>
      <c r="C532" s="22"/>
      <c r="D532" s="22"/>
      <c r="K532" s="49"/>
    </row>
    <row r="533" ht="12.0" customHeight="1">
      <c r="A533" s="22"/>
      <c r="B533" s="22"/>
      <c r="C533" s="57" t="s">
        <v>2927</v>
      </c>
      <c r="D533" s="57" t="s">
        <v>2928</v>
      </c>
      <c r="E533" s="57"/>
      <c r="F533" s="57"/>
      <c r="G533" s="57" t="s">
        <v>12</v>
      </c>
      <c r="H533" s="57"/>
      <c r="I533" s="57"/>
      <c r="J533" s="57"/>
      <c r="K533" s="69" t="s">
        <v>22</v>
      </c>
      <c r="L533" s="27" t="s">
        <v>3550</v>
      </c>
    </row>
    <row r="534" ht="12.0" customHeight="1">
      <c r="A534" s="27"/>
      <c r="B534" s="27"/>
      <c r="C534" s="57"/>
      <c r="D534" s="27" t="s">
        <v>3632</v>
      </c>
      <c r="E534" s="57"/>
      <c r="F534" s="57"/>
      <c r="G534" s="63">
        <v>1.0</v>
      </c>
      <c r="H534" s="57"/>
      <c r="I534" s="57"/>
      <c r="J534" s="57"/>
      <c r="K534" s="89">
        <v>20.0</v>
      </c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2.0" customHeight="1">
      <c r="A535" s="27"/>
      <c r="B535" s="27"/>
      <c r="C535" s="57"/>
      <c r="D535" s="27" t="s">
        <v>3633</v>
      </c>
      <c r="E535" s="57"/>
      <c r="F535" s="57"/>
      <c r="G535" s="63">
        <v>1.0</v>
      </c>
      <c r="H535" s="57"/>
      <c r="I535" s="57"/>
      <c r="J535" s="57"/>
      <c r="K535" s="89">
        <v>100.0</v>
      </c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2.0" customHeight="1">
      <c r="A536" s="27"/>
      <c r="B536" s="27"/>
      <c r="C536" s="57"/>
      <c r="D536" s="27" t="s">
        <v>3634</v>
      </c>
      <c r="E536" s="57"/>
      <c r="F536" s="57"/>
      <c r="G536" s="63">
        <v>1.0</v>
      </c>
      <c r="H536" s="57"/>
      <c r="I536" s="57"/>
      <c r="J536" s="57"/>
      <c r="K536" s="89">
        <v>20.0</v>
      </c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2.0" customHeight="1">
      <c r="A537" s="27"/>
      <c r="B537" s="27"/>
      <c r="C537" s="57"/>
      <c r="D537" s="27" t="s">
        <v>3635</v>
      </c>
      <c r="E537" s="57"/>
      <c r="F537" s="57"/>
      <c r="G537" s="63">
        <v>1.0</v>
      </c>
      <c r="H537" s="57"/>
      <c r="I537" s="57"/>
      <c r="J537" s="57"/>
      <c r="K537" s="89">
        <v>20.0</v>
      </c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0" customHeight="1">
      <c r="A538" s="27"/>
      <c r="B538" s="27"/>
      <c r="C538" s="57"/>
      <c r="D538" s="27" t="s">
        <v>3636</v>
      </c>
      <c r="E538" s="57"/>
      <c r="F538" s="57"/>
      <c r="G538" s="63">
        <v>1.0</v>
      </c>
      <c r="H538" s="57"/>
      <c r="I538" s="57"/>
      <c r="J538" s="57"/>
      <c r="K538" s="89">
        <v>20.0</v>
      </c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2.0" customHeight="1">
      <c r="A539" s="27"/>
      <c r="B539" s="27"/>
      <c r="C539" s="57"/>
      <c r="D539" s="27" t="s">
        <v>3637</v>
      </c>
      <c r="E539" s="57"/>
      <c r="F539" s="57"/>
      <c r="G539" s="63">
        <v>1.0</v>
      </c>
      <c r="H539" s="57"/>
      <c r="I539" s="57"/>
      <c r="J539" s="57"/>
      <c r="K539" s="89">
        <v>100.0</v>
      </c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2.0" customHeight="1">
      <c r="A540" s="27"/>
      <c r="B540" s="27"/>
      <c r="C540" s="57"/>
      <c r="D540" s="27" t="s">
        <v>3638</v>
      </c>
      <c r="E540" s="57"/>
      <c r="F540" s="57"/>
      <c r="G540" s="63">
        <v>2.0</v>
      </c>
      <c r="H540" s="57"/>
      <c r="I540" s="57"/>
      <c r="J540" s="57"/>
      <c r="K540" s="89">
        <v>5000.0</v>
      </c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2.0" customHeight="1">
      <c r="A541" s="27"/>
      <c r="B541" s="27"/>
      <c r="C541" s="57"/>
      <c r="D541" s="27" t="s">
        <v>3639</v>
      </c>
      <c r="E541" s="57"/>
      <c r="F541" s="57"/>
      <c r="G541" s="63">
        <v>2.0</v>
      </c>
      <c r="H541" s="57"/>
      <c r="I541" s="57"/>
      <c r="J541" s="57"/>
      <c r="K541" s="89">
        <v>2500.0</v>
      </c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2.0" customHeight="1">
      <c r="A542" s="27"/>
      <c r="B542" s="27"/>
      <c r="C542" s="57"/>
      <c r="D542" s="27" t="s">
        <v>3640</v>
      </c>
      <c r="E542" s="57"/>
      <c r="F542" s="57"/>
      <c r="G542" s="63">
        <v>2.0</v>
      </c>
      <c r="H542" s="57"/>
      <c r="I542" s="57"/>
      <c r="J542" s="57"/>
      <c r="K542" s="89">
        <v>2500.0</v>
      </c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2.0" customHeight="1">
      <c r="A543" s="22"/>
      <c r="B543" s="22"/>
      <c r="C543" s="22"/>
      <c r="D543" s="27" t="s">
        <v>3641</v>
      </c>
      <c r="G543" s="63">
        <v>2.0</v>
      </c>
      <c r="K543" s="89">
        <v>2500.0</v>
      </c>
    </row>
    <row r="544" ht="12.0" customHeight="1">
      <c r="A544" s="22"/>
      <c r="B544" s="22"/>
      <c r="C544" s="22"/>
      <c r="D544" s="27" t="s">
        <v>3642</v>
      </c>
      <c r="G544" s="63">
        <v>1.0</v>
      </c>
      <c r="K544" s="49">
        <v>20.0</v>
      </c>
    </row>
    <row r="545" ht="12.0" customHeight="1">
      <c r="A545" s="22"/>
      <c r="B545" s="22"/>
      <c r="C545" s="22"/>
      <c r="D545" s="22"/>
      <c r="K545" s="49"/>
    </row>
    <row r="546" ht="12.0" customHeight="1">
      <c r="A546" s="56" t="s">
        <v>3643</v>
      </c>
      <c r="B546" s="22"/>
      <c r="C546" s="22"/>
      <c r="D546" s="22"/>
      <c r="K546" s="49"/>
    </row>
    <row r="547" ht="12.0" customHeight="1">
      <c r="A547" s="22"/>
      <c r="B547" s="22"/>
      <c r="C547" s="57" t="s">
        <v>2927</v>
      </c>
      <c r="D547" s="57" t="s">
        <v>2928</v>
      </c>
      <c r="E547" s="57"/>
      <c r="F547" s="57"/>
      <c r="G547" s="57" t="s">
        <v>12</v>
      </c>
      <c r="H547" s="57"/>
      <c r="I547" s="57"/>
      <c r="J547" s="57"/>
      <c r="K547" s="69" t="s">
        <v>22</v>
      </c>
      <c r="L547" s="27" t="s">
        <v>3550</v>
      </c>
    </row>
    <row r="548" ht="12.0" customHeight="1">
      <c r="A548" s="22"/>
      <c r="B548" s="22"/>
      <c r="C548" s="22"/>
      <c r="D548" s="27" t="s">
        <v>3644</v>
      </c>
      <c r="G548" s="22">
        <v>2.0</v>
      </c>
      <c r="K548" s="49">
        <v>500.0</v>
      </c>
    </row>
    <row r="549" ht="12.0" customHeight="1">
      <c r="A549" s="22"/>
      <c r="B549" s="22"/>
      <c r="C549" s="22"/>
      <c r="D549" s="27" t="s">
        <v>3645</v>
      </c>
      <c r="G549" s="22">
        <v>2.0</v>
      </c>
      <c r="K549" s="49">
        <v>500.0</v>
      </c>
    </row>
    <row r="550" ht="12.0" customHeight="1">
      <c r="A550" s="22"/>
      <c r="B550" s="22"/>
      <c r="C550" s="22"/>
      <c r="D550" s="27" t="s">
        <v>3646</v>
      </c>
      <c r="G550" s="22">
        <v>2.0</v>
      </c>
      <c r="K550" s="49">
        <v>500.0</v>
      </c>
    </row>
    <row r="551" ht="12.0" customHeight="1">
      <c r="A551" s="22"/>
      <c r="B551" s="22"/>
      <c r="C551" s="22"/>
      <c r="D551" s="22"/>
      <c r="K551" s="49"/>
    </row>
    <row r="552" ht="12.75" customHeight="1">
      <c r="A552" s="56" t="s">
        <v>2277</v>
      </c>
      <c r="B552" s="22"/>
      <c r="C552" s="22"/>
      <c r="D552" s="22"/>
      <c r="J552" s="57" t="s">
        <v>2926</v>
      </c>
      <c r="K552" s="49"/>
    </row>
    <row r="553" ht="12.75" customHeight="1">
      <c r="A553" s="22"/>
      <c r="B553" s="22"/>
      <c r="C553" s="57" t="s">
        <v>2927</v>
      </c>
      <c r="D553" s="57" t="s">
        <v>2928</v>
      </c>
      <c r="E553" s="57"/>
      <c r="F553" s="57" t="s">
        <v>15</v>
      </c>
      <c r="G553" s="57" t="s">
        <v>12</v>
      </c>
      <c r="H553" s="57"/>
      <c r="I553" s="57"/>
      <c r="J553" s="67">
        <v>10.0</v>
      </c>
      <c r="K553" s="69" t="s">
        <v>22</v>
      </c>
    </row>
    <row r="554" ht="12.0" customHeight="1">
      <c r="A554" s="27"/>
      <c r="B554" s="27"/>
      <c r="C554" s="57"/>
      <c r="D554" s="27" t="s">
        <v>3647</v>
      </c>
      <c r="E554" s="57"/>
      <c r="F554" s="63">
        <v>1.0</v>
      </c>
      <c r="G554" s="63">
        <v>1.0</v>
      </c>
      <c r="H554" s="57"/>
      <c r="I554" s="57"/>
      <c r="J554" s="57"/>
      <c r="K554" s="89">
        <f t="shared" ref="K554:K568" si="22">F554*G554*$J$553</f>
        <v>10</v>
      </c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2.0" customHeight="1">
      <c r="A555" s="27"/>
      <c r="B555" s="27"/>
      <c r="C555" s="57"/>
      <c r="D555" s="27" t="s">
        <v>3648</v>
      </c>
      <c r="E555" s="57"/>
      <c r="F555" s="63">
        <v>1.0</v>
      </c>
      <c r="G555" s="63">
        <v>1.0</v>
      </c>
      <c r="H555" s="57"/>
      <c r="I555" s="57"/>
      <c r="J555" s="57"/>
      <c r="K555" s="89">
        <f t="shared" si="22"/>
        <v>10</v>
      </c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2.0" customHeight="1">
      <c r="A556" s="27"/>
      <c r="B556" s="27"/>
      <c r="C556" s="57"/>
      <c r="D556" s="27" t="s">
        <v>3649</v>
      </c>
      <c r="E556" s="57"/>
      <c r="F556" s="63">
        <v>1.0</v>
      </c>
      <c r="G556" s="63">
        <v>1.0</v>
      </c>
      <c r="H556" s="57"/>
      <c r="I556" s="57"/>
      <c r="J556" s="57"/>
      <c r="K556" s="89">
        <f t="shared" si="22"/>
        <v>10</v>
      </c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0" customHeight="1">
      <c r="A557" s="27"/>
      <c r="B557" s="27"/>
      <c r="C557" s="57"/>
      <c r="D557" s="27" t="s">
        <v>3650</v>
      </c>
      <c r="E557" s="57"/>
      <c r="F557" s="63">
        <v>1.0</v>
      </c>
      <c r="G557" s="63">
        <v>1.0</v>
      </c>
      <c r="H557" s="57"/>
      <c r="I557" s="57"/>
      <c r="J557" s="57"/>
      <c r="K557" s="89">
        <f t="shared" si="22"/>
        <v>10</v>
      </c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2.0" customHeight="1">
      <c r="A558" s="27"/>
      <c r="B558" s="27"/>
      <c r="C558" s="57"/>
      <c r="D558" s="27" t="s">
        <v>3651</v>
      </c>
      <c r="E558" s="57"/>
      <c r="F558" s="63">
        <v>1.0</v>
      </c>
      <c r="G558" s="63">
        <v>1.0</v>
      </c>
      <c r="H558" s="57"/>
      <c r="I558" s="57"/>
      <c r="J558" s="57"/>
      <c r="K558" s="89">
        <f t="shared" si="22"/>
        <v>10</v>
      </c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2.0" customHeight="1">
      <c r="A559" s="27"/>
      <c r="B559" s="27"/>
      <c r="C559" s="57"/>
      <c r="D559" s="27" t="s">
        <v>3652</v>
      </c>
      <c r="E559" s="57"/>
      <c r="F559" s="63">
        <v>1.0</v>
      </c>
      <c r="G559" s="63">
        <v>1.0</v>
      </c>
      <c r="H559" s="57"/>
      <c r="I559" s="57"/>
      <c r="J559" s="57"/>
      <c r="K559" s="89">
        <f t="shared" si="22"/>
        <v>10</v>
      </c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2.0" customHeight="1">
      <c r="A560" s="27"/>
      <c r="B560" s="27"/>
      <c r="C560" s="57"/>
      <c r="D560" s="27" t="s">
        <v>3653</v>
      </c>
      <c r="E560" s="57"/>
      <c r="F560" s="63">
        <v>1.0</v>
      </c>
      <c r="G560" s="63">
        <v>1.0</v>
      </c>
      <c r="H560" s="57"/>
      <c r="I560" s="57"/>
      <c r="J560" s="57"/>
      <c r="K560" s="89">
        <f t="shared" si="22"/>
        <v>10</v>
      </c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2.0" customHeight="1">
      <c r="A561" s="27"/>
      <c r="B561" s="27"/>
      <c r="C561" s="57"/>
      <c r="D561" s="27" t="s">
        <v>3654</v>
      </c>
      <c r="E561" s="57"/>
      <c r="F561" s="63">
        <v>1.0</v>
      </c>
      <c r="G561" s="63">
        <v>2.0</v>
      </c>
      <c r="H561" s="57"/>
      <c r="I561" s="57"/>
      <c r="J561" s="57"/>
      <c r="K561" s="89">
        <f t="shared" si="22"/>
        <v>20</v>
      </c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2.0" customHeight="1">
      <c r="A562" s="27"/>
      <c r="B562" s="27"/>
      <c r="C562" s="57"/>
      <c r="D562" s="27" t="s">
        <v>3655</v>
      </c>
      <c r="E562" s="57"/>
      <c r="F562" s="63">
        <v>1.0</v>
      </c>
      <c r="G562" s="63">
        <v>2.0</v>
      </c>
      <c r="H562" s="57"/>
      <c r="I562" s="57"/>
      <c r="J562" s="57"/>
      <c r="K562" s="89">
        <f t="shared" si="22"/>
        <v>20</v>
      </c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2.0" customHeight="1">
      <c r="A563" s="27"/>
      <c r="B563" s="27"/>
      <c r="C563" s="57"/>
      <c r="D563" s="27" t="s">
        <v>3656</v>
      </c>
      <c r="E563" s="57"/>
      <c r="F563" s="63">
        <v>1.0</v>
      </c>
      <c r="G563" s="63">
        <v>2.0</v>
      </c>
      <c r="H563" s="57"/>
      <c r="I563" s="57"/>
      <c r="J563" s="57"/>
      <c r="K563" s="89">
        <f t="shared" si="22"/>
        <v>20</v>
      </c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2.0" customHeight="1">
      <c r="A564" s="27"/>
      <c r="B564" s="27"/>
      <c r="C564" s="57"/>
      <c r="D564" s="27" t="s">
        <v>3657</v>
      </c>
      <c r="E564" s="57"/>
      <c r="F564" s="63">
        <v>1.0</v>
      </c>
      <c r="G564" s="63">
        <v>2.0</v>
      </c>
      <c r="H564" s="57"/>
      <c r="I564" s="57"/>
      <c r="J564" s="57"/>
      <c r="K564" s="89">
        <f t="shared" si="22"/>
        <v>20</v>
      </c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2.0" customHeight="1">
      <c r="A565" s="27"/>
      <c r="B565" s="27"/>
      <c r="C565" s="57"/>
      <c r="D565" s="27" t="s">
        <v>3658</v>
      </c>
      <c r="E565" s="57"/>
      <c r="F565" s="63">
        <v>3.0</v>
      </c>
      <c r="G565" s="63">
        <v>2.0</v>
      </c>
      <c r="H565" s="57"/>
      <c r="I565" s="57"/>
      <c r="J565" s="57"/>
      <c r="K565" s="89">
        <f t="shared" si="22"/>
        <v>60</v>
      </c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2.0" customHeight="1">
      <c r="A566" s="22"/>
      <c r="B566" s="22"/>
      <c r="C566" s="22"/>
      <c r="D566" s="27" t="s">
        <v>3659</v>
      </c>
      <c r="F566" s="63">
        <v>3.0</v>
      </c>
      <c r="G566" s="63">
        <v>2.0</v>
      </c>
      <c r="K566" s="89">
        <f t="shared" si="22"/>
        <v>60</v>
      </c>
    </row>
    <row r="567" ht="12.0" customHeight="1">
      <c r="A567" s="22"/>
      <c r="B567" s="22"/>
      <c r="C567" s="22"/>
      <c r="D567" s="27" t="s">
        <v>3660</v>
      </c>
      <c r="F567" s="63">
        <v>3.0</v>
      </c>
      <c r="G567" s="63">
        <v>2.0</v>
      </c>
      <c r="K567" s="89">
        <f t="shared" si="22"/>
        <v>60</v>
      </c>
    </row>
    <row r="568" ht="12.0" customHeight="1">
      <c r="A568" s="22"/>
      <c r="B568" s="22"/>
      <c r="C568" s="22"/>
      <c r="D568" s="27" t="s">
        <v>3661</v>
      </c>
      <c r="F568" s="63">
        <v>3.0</v>
      </c>
      <c r="G568" s="63">
        <v>2.0</v>
      </c>
      <c r="K568" s="89">
        <f t="shared" si="22"/>
        <v>60</v>
      </c>
    </row>
    <row r="569" ht="12.0" customHeight="1">
      <c r="A569" s="22"/>
      <c r="B569" s="22"/>
      <c r="C569" s="22"/>
      <c r="D569" s="22"/>
      <c r="K569" s="49"/>
    </row>
    <row r="570" ht="12.75" customHeight="1">
      <c r="A570" s="56" t="s">
        <v>2388</v>
      </c>
      <c r="B570" s="22"/>
      <c r="C570" s="22"/>
      <c r="D570" s="22"/>
      <c r="J570" s="57" t="s">
        <v>2926</v>
      </c>
      <c r="K570" s="49"/>
    </row>
    <row r="571" ht="12.75" customHeight="1">
      <c r="A571" s="22"/>
      <c r="B571" s="22"/>
      <c r="C571" s="57" t="s">
        <v>2927</v>
      </c>
      <c r="D571" s="57" t="s">
        <v>2928</v>
      </c>
      <c r="E571" s="57"/>
      <c r="F571" s="57" t="s">
        <v>15</v>
      </c>
      <c r="G571" s="57" t="s">
        <v>12</v>
      </c>
      <c r="H571" s="57"/>
      <c r="I571" s="57"/>
      <c r="J571" s="67">
        <v>15.0</v>
      </c>
      <c r="K571" s="69" t="s">
        <v>22</v>
      </c>
    </row>
    <row r="572" ht="12.0" customHeight="1">
      <c r="A572" s="27"/>
      <c r="B572" s="27"/>
      <c r="C572" s="57"/>
      <c r="D572" s="27" t="s">
        <v>3662</v>
      </c>
      <c r="E572" s="57"/>
      <c r="F572" s="63">
        <v>1.0</v>
      </c>
      <c r="G572" s="63">
        <v>1.0</v>
      </c>
      <c r="H572" s="57"/>
      <c r="I572" s="57"/>
      <c r="J572" s="57"/>
      <c r="K572" s="89">
        <f t="shared" ref="K572:K592" si="23">F572*G572*$J$571</f>
        <v>15</v>
      </c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2.0" customHeight="1">
      <c r="A573" s="27"/>
      <c r="B573" s="27"/>
      <c r="C573" s="57"/>
      <c r="D573" s="27" t="s">
        <v>3663</v>
      </c>
      <c r="E573" s="57"/>
      <c r="F573" s="63">
        <v>1.0</v>
      </c>
      <c r="G573" s="63">
        <v>1.0</v>
      </c>
      <c r="H573" s="57"/>
      <c r="I573" s="57"/>
      <c r="J573" s="57"/>
      <c r="K573" s="89">
        <f t="shared" si="23"/>
        <v>15</v>
      </c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2.0" customHeight="1">
      <c r="A574" s="27"/>
      <c r="B574" s="27"/>
      <c r="C574" s="57"/>
      <c r="D574" s="27" t="s">
        <v>3664</v>
      </c>
      <c r="E574" s="57"/>
      <c r="F574" s="63">
        <v>1.0</v>
      </c>
      <c r="G574" s="63">
        <v>1.0</v>
      </c>
      <c r="H574" s="57"/>
      <c r="I574" s="57"/>
      <c r="J574" s="57"/>
      <c r="K574" s="89">
        <f t="shared" si="23"/>
        <v>15</v>
      </c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2.0" customHeight="1">
      <c r="A575" s="27"/>
      <c r="B575" s="27"/>
      <c r="C575" s="57"/>
      <c r="D575" s="27" t="s">
        <v>3665</v>
      </c>
      <c r="E575" s="57"/>
      <c r="F575" s="63">
        <v>1.0</v>
      </c>
      <c r="G575" s="63">
        <v>1.0</v>
      </c>
      <c r="H575" s="57"/>
      <c r="I575" s="57"/>
      <c r="J575" s="57"/>
      <c r="K575" s="89">
        <f t="shared" si="23"/>
        <v>15</v>
      </c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2.0" customHeight="1">
      <c r="A576" s="27"/>
      <c r="B576" s="27"/>
      <c r="C576" s="57"/>
      <c r="D576" s="27" t="s">
        <v>3666</v>
      </c>
      <c r="E576" s="57"/>
      <c r="F576" s="63">
        <v>1.0</v>
      </c>
      <c r="G576" s="63">
        <v>1.0</v>
      </c>
      <c r="H576" s="57"/>
      <c r="I576" s="57"/>
      <c r="J576" s="57"/>
      <c r="K576" s="89">
        <f t="shared" si="23"/>
        <v>15</v>
      </c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2.0" customHeight="1">
      <c r="A577" s="27"/>
      <c r="B577" s="27"/>
      <c r="C577" s="57"/>
      <c r="D577" s="27" t="s">
        <v>3667</v>
      </c>
      <c r="E577" s="57"/>
      <c r="F577" s="63">
        <v>1.0</v>
      </c>
      <c r="G577" s="63">
        <v>1.0</v>
      </c>
      <c r="H577" s="57"/>
      <c r="I577" s="57"/>
      <c r="J577" s="57"/>
      <c r="K577" s="89">
        <f t="shared" si="23"/>
        <v>15</v>
      </c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2.0" customHeight="1">
      <c r="A578" s="27"/>
      <c r="B578" s="27"/>
      <c r="C578" s="57"/>
      <c r="D578" s="27" t="s">
        <v>3668</v>
      </c>
      <c r="E578" s="57"/>
      <c r="F578" s="63">
        <v>1.0</v>
      </c>
      <c r="G578" s="63">
        <v>1.0</v>
      </c>
      <c r="H578" s="57"/>
      <c r="I578" s="57"/>
      <c r="J578" s="57"/>
      <c r="K578" s="89">
        <f t="shared" si="23"/>
        <v>15</v>
      </c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0" customHeight="1">
      <c r="A579" s="27"/>
      <c r="B579" s="27"/>
      <c r="C579" s="57"/>
      <c r="D579" s="27" t="s">
        <v>3669</v>
      </c>
      <c r="E579" s="57"/>
      <c r="F579" s="63">
        <v>1.0</v>
      </c>
      <c r="G579" s="63">
        <v>2.0</v>
      </c>
      <c r="H579" s="57"/>
      <c r="I579" s="57"/>
      <c r="J579" s="57"/>
      <c r="K579" s="89">
        <f t="shared" si="23"/>
        <v>30</v>
      </c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2.0" customHeight="1">
      <c r="A580" s="27"/>
      <c r="B580" s="27"/>
      <c r="C580" s="57"/>
      <c r="D580" s="27" t="s">
        <v>3670</v>
      </c>
      <c r="E580" s="57"/>
      <c r="F580" s="63">
        <v>1.0</v>
      </c>
      <c r="G580" s="63">
        <v>2.0</v>
      </c>
      <c r="H580" s="57"/>
      <c r="I580" s="57"/>
      <c r="J580" s="57"/>
      <c r="K580" s="89">
        <f t="shared" si="23"/>
        <v>30</v>
      </c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2.0" customHeight="1">
      <c r="A581" s="27"/>
      <c r="B581" s="27"/>
      <c r="C581" s="57"/>
      <c r="D581" s="27" t="s">
        <v>3671</v>
      </c>
      <c r="E581" s="57"/>
      <c r="F581" s="63">
        <v>1.0</v>
      </c>
      <c r="G581" s="63">
        <v>2.0</v>
      </c>
      <c r="H581" s="57"/>
      <c r="I581" s="57"/>
      <c r="J581" s="57"/>
      <c r="K581" s="89">
        <f t="shared" si="23"/>
        <v>30</v>
      </c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2.0" customHeight="1">
      <c r="A582" s="27"/>
      <c r="B582" s="27"/>
      <c r="C582" s="57"/>
      <c r="D582" s="27" t="s">
        <v>3672</v>
      </c>
      <c r="E582" s="57"/>
      <c r="F582" s="63">
        <v>1.0</v>
      </c>
      <c r="G582" s="63">
        <v>2.0</v>
      </c>
      <c r="H582" s="57"/>
      <c r="I582" s="57"/>
      <c r="J582" s="57"/>
      <c r="K582" s="89">
        <f t="shared" si="23"/>
        <v>30</v>
      </c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2.0" customHeight="1">
      <c r="A583" s="27"/>
      <c r="B583" s="27"/>
      <c r="C583" s="57"/>
      <c r="D583" s="27" t="s">
        <v>3673</v>
      </c>
      <c r="E583" s="57"/>
      <c r="F583" s="63">
        <v>1.0</v>
      </c>
      <c r="G583" s="63">
        <v>2.0</v>
      </c>
      <c r="H583" s="57"/>
      <c r="I583" s="57"/>
      <c r="J583" s="57"/>
      <c r="K583" s="89">
        <f t="shared" si="23"/>
        <v>30</v>
      </c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2.0" customHeight="1">
      <c r="A584" s="27"/>
      <c r="B584" s="27"/>
      <c r="C584" s="57"/>
      <c r="D584" s="27" t="s">
        <v>3674</v>
      </c>
      <c r="E584" s="57"/>
      <c r="F584" s="63">
        <v>1.0</v>
      </c>
      <c r="G584" s="63">
        <v>2.0</v>
      </c>
      <c r="H584" s="57"/>
      <c r="I584" s="57"/>
      <c r="J584" s="57"/>
      <c r="K584" s="89">
        <f t="shared" si="23"/>
        <v>30</v>
      </c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2.0" customHeight="1">
      <c r="A585" s="27"/>
      <c r="B585" s="27"/>
      <c r="C585" s="57"/>
      <c r="D585" s="27" t="s">
        <v>3675</v>
      </c>
      <c r="E585" s="57"/>
      <c r="F585" s="63">
        <v>1.0</v>
      </c>
      <c r="G585" s="63">
        <v>2.0</v>
      </c>
      <c r="H585" s="57"/>
      <c r="I585" s="57"/>
      <c r="J585" s="57"/>
      <c r="K585" s="89">
        <f t="shared" si="23"/>
        <v>30</v>
      </c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2.0" customHeight="1">
      <c r="A586" s="27"/>
      <c r="B586" s="27"/>
      <c r="C586" s="57"/>
      <c r="D586" s="27" t="s">
        <v>3676</v>
      </c>
      <c r="E586" s="57"/>
      <c r="F586" s="63">
        <v>3.0</v>
      </c>
      <c r="G586" s="63">
        <v>2.0</v>
      </c>
      <c r="H586" s="57"/>
      <c r="I586" s="57"/>
      <c r="J586" s="57"/>
      <c r="K586" s="89">
        <f t="shared" si="23"/>
        <v>90</v>
      </c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2.0" customHeight="1">
      <c r="A587" s="27"/>
      <c r="B587" s="27"/>
      <c r="C587" s="57"/>
      <c r="D587" s="27" t="s">
        <v>3677</v>
      </c>
      <c r="E587" s="57"/>
      <c r="F587" s="63">
        <v>3.0</v>
      </c>
      <c r="G587" s="63">
        <v>2.0</v>
      </c>
      <c r="H587" s="57"/>
      <c r="I587" s="57"/>
      <c r="J587" s="57"/>
      <c r="K587" s="89">
        <f t="shared" si="23"/>
        <v>90</v>
      </c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2.0" customHeight="1">
      <c r="A588" s="27"/>
      <c r="B588" s="27"/>
      <c r="C588" s="57"/>
      <c r="D588" s="27" t="s">
        <v>3678</v>
      </c>
      <c r="E588" s="57"/>
      <c r="F588" s="63">
        <v>3.0</v>
      </c>
      <c r="G588" s="63">
        <v>2.0</v>
      </c>
      <c r="H588" s="57"/>
      <c r="I588" s="57"/>
      <c r="J588" s="57"/>
      <c r="K588" s="89">
        <f t="shared" si="23"/>
        <v>90</v>
      </c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2.0" customHeight="1">
      <c r="A589" s="27"/>
      <c r="B589" s="27"/>
      <c r="C589" s="57"/>
      <c r="D589" s="27" t="s">
        <v>3679</v>
      </c>
      <c r="E589" s="57"/>
      <c r="F589" s="63">
        <v>3.0</v>
      </c>
      <c r="G589" s="63">
        <v>2.0</v>
      </c>
      <c r="H589" s="57"/>
      <c r="I589" s="57"/>
      <c r="J589" s="57"/>
      <c r="K589" s="89">
        <f t="shared" si="23"/>
        <v>90</v>
      </c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2.0" customHeight="1">
      <c r="A590" s="27"/>
      <c r="B590" s="27"/>
      <c r="C590" s="57"/>
      <c r="D590" s="27" t="s">
        <v>3680</v>
      </c>
      <c r="E590" s="57"/>
      <c r="F590" s="63">
        <v>3.0</v>
      </c>
      <c r="G590" s="63">
        <v>2.0</v>
      </c>
      <c r="H590" s="57"/>
      <c r="I590" s="57"/>
      <c r="J590" s="57"/>
      <c r="K590" s="89">
        <f t="shared" si="23"/>
        <v>90</v>
      </c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2.0" customHeight="1">
      <c r="A591" s="27"/>
      <c r="B591" s="27"/>
      <c r="C591" s="57"/>
      <c r="D591" s="27" t="s">
        <v>3681</v>
      </c>
      <c r="E591" s="57"/>
      <c r="F591" s="63">
        <v>3.0</v>
      </c>
      <c r="G591" s="63">
        <v>2.0</v>
      </c>
      <c r="H591" s="57"/>
      <c r="I591" s="57"/>
      <c r="J591" s="57"/>
      <c r="K591" s="89">
        <f t="shared" si="23"/>
        <v>90</v>
      </c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2.0" customHeight="1">
      <c r="A592" s="27"/>
      <c r="B592" s="27"/>
      <c r="C592" s="57"/>
      <c r="D592" s="27" t="s">
        <v>3682</v>
      </c>
      <c r="E592" s="57"/>
      <c r="F592" s="63">
        <v>3.0</v>
      </c>
      <c r="G592" s="63">
        <v>2.0</v>
      </c>
      <c r="H592" s="57"/>
      <c r="I592" s="57"/>
      <c r="J592" s="57"/>
      <c r="K592" s="89">
        <f t="shared" si="23"/>
        <v>90</v>
      </c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2.0" customHeight="1">
      <c r="A593" s="22"/>
      <c r="B593" s="22"/>
      <c r="C593" s="22"/>
      <c r="D593" s="22"/>
      <c r="K593" s="49"/>
    </row>
    <row r="594" ht="12.0" customHeight="1">
      <c r="A594" s="56" t="s">
        <v>2496</v>
      </c>
      <c r="B594" s="22"/>
      <c r="C594" s="22"/>
      <c r="D594" s="22"/>
      <c r="K594" s="49"/>
    </row>
    <row r="595" ht="12.0" customHeight="1">
      <c r="A595" s="22"/>
      <c r="B595" s="22"/>
      <c r="C595" s="57" t="s">
        <v>2927</v>
      </c>
      <c r="D595" s="57" t="s">
        <v>2928</v>
      </c>
      <c r="E595" s="57"/>
      <c r="F595" s="57" t="s">
        <v>15</v>
      </c>
      <c r="G595" s="57" t="s">
        <v>12</v>
      </c>
      <c r="H595" s="57"/>
      <c r="I595" s="57"/>
      <c r="J595" s="57"/>
      <c r="K595" s="69" t="s">
        <v>22</v>
      </c>
      <c r="L595" s="27" t="s">
        <v>3550</v>
      </c>
    </row>
    <row r="596" ht="12.0" customHeight="1">
      <c r="A596" s="22"/>
      <c r="B596" s="22"/>
      <c r="C596" s="22"/>
      <c r="D596" s="27" t="s">
        <v>3683</v>
      </c>
      <c r="F596" s="22">
        <v>1.0</v>
      </c>
      <c r="G596" s="22">
        <v>2.0</v>
      </c>
      <c r="K596" s="61">
        <v>300.0</v>
      </c>
    </row>
    <row r="597" ht="12.0" customHeight="1">
      <c r="A597" s="27"/>
      <c r="B597" s="27"/>
      <c r="C597" s="27"/>
      <c r="D597" s="27" t="s">
        <v>3684</v>
      </c>
      <c r="E597" s="27"/>
      <c r="F597" s="27">
        <v>1.0</v>
      </c>
      <c r="G597" s="27">
        <v>2.0</v>
      </c>
      <c r="H597" s="27"/>
      <c r="I597" s="27"/>
      <c r="J597" s="27"/>
      <c r="K597" s="61">
        <v>200.0</v>
      </c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0" customHeight="1">
      <c r="A598" s="27"/>
      <c r="B598" s="27"/>
      <c r="C598" s="27"/>
      <c r="D598" s="27" t="s">
        <v>3685</v>
      </c>
      <c r="E598" s="27"/>
      <c r="F598" s="27">
        <v>1.0</v>
      </c>
      <c r="G598" s="27">
        <v>1.0</v>
      </c>
      <c r="H598" s="27"/>
      <c r="I598" s="27"/>
      <c r="J598" s="27"/>
      <c r="K598" s="49">
        <v>50.0</v>
      </c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2.0" customHeight="1">
      <c r="A599" s="27"/>
      <c r="B599" s="27"/>
      <c r="C599" s="27"/>
      <c r="D599" s="27" t="s">
        <v>3686</v>
      </c>
      <c r="E599" s="27"/>
      <c r="F599" s="27">
        <v>1.0</v>
      </c>
      <c r="G599" s="27">
        <v>1.0</v>
      </c>
      <c r="H599" s="27"/>
      <c r="I599" s="27"/>
      <c r="J599" s="27"/>
      <c r="K599" s="49">
        <v>50.0</v>
      </c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2.0" customHeight="1">
      <c r="A600" s="27"/>
      <c r="B600" s="27"/>
      <c r="C600" s="27"/>
      <c r="D600" s="27" t="s">
        <v>3687</v>
      </c>
      <c r="E600" s="27"/>
      <c r="F600" s="27">
        <v>1.0</v>
      </c>
      <c r="G600" s="27">
        <v>1.0</v>
      </c>
      <c r="H600" s="27"/>
      <c r="I600" s="27"/>
      <c r="J600" s="27"/>
      <c r="K600" s="49">
        <v>50.0</v>
      </c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2.0" customHeight="1">
      <c r="A601" s="27"/>
      <c r="B601" s="27"/>
      <c r="C601" s="27"/>
      <c r="D601" s="27" t="s">
        <v>3688</v>
      </c>
      <c r="E601" s="27"/>
      <c r="F601" s="27">
        <v>1.0</v>
      </c>
      <c r="G601" s="27">
        <v>2.0</v>
      </c>
      <c r="H601" s="27"/>
      <c r="I601" s="27"/>
      <c r="J601" s="27"/>
      <c r="K601" s="61">
        <v>400.0</v>
      </c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2.0" customHeight="1">
      <c r="A602" s="27"/>
      <c r="B602" s="27"/>
      <c r="C602" s="27"/>
      <c r="D602" s="27" t="s">
        <v>3689</v>
      </c>
      <c r="E602" s="27"/>
      <c r="F602" s="27">
        <v>3.0</v>
      </c>
      <c r="G602" s="27">
        <v>2.0</v>
      </c>
      <c r="H602" s="27"/>
      <c r="I602" s="27"/>
      <c r="J602" s="27"/>
      <c r="K602" s="61">
        <v>1200.0</v>
      </c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2.0" customHeight="1">
      <c r="A603" s="27"/>
      <c r="B603" s="27"/>
      <c r="C603" s="27"/>
      <c r="D603" s="27" t="s">
        <v>3690</v>
      </c>
      <c r="E603" s="27"/>
      <c r="F603" s="27">
        <v>1.0</v>
      </c>
      <c r="G603" s="27">
        <v>2.0</v>
      </c>
      <c r="H603" s="27"/>
      <c r="I603" s="27"/>
      <c r="J603" s="27"/>
      <c r="K603" s="61">
        <v>2000.0</v>
      </c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2.0" customHeight="1">
      <c r="A604" s="27"/>
      <c r="B604" s="27"/>
      <c r="C604" s="27"/>
      <c r="D604" s="27" t="s">
        <v>3691</v>
      </c>
      <c r="E604" s="27"/>
      <c r="F604" s="27">
        <v>1.0</v>
      </c>
      <c r="G604" s="27">
        <v>2.0</v>
      </c>
      <c r="H604" s="27"/>
      <c r="I604" s="27"/>
      <c r="J604" s="27"/>
      <c r="K604" s="61">
        <v>2000.0</v>
      </c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2.0" customHeight="1">
      <c r="A605" s="27"/>
      <c r="B605" s="27"/>
      <c r="C605" s="27"/>
      <c r="D605" s="27" t="s">
        <v>3692</v>
      </c>
      <c r="E605" s="27"/>
      <c r="F605" s="27">
        <v>1.0</v>
      </c>
      <c r="G605" s="27">
        <v>2.0</v>
      </c>
      <c r="H605" s="27"/>
      <c r="I605" s="27"/>
      <c r="J605" s="27"/>
      <c r="K605" s="61">
        <v>2000.0</v>
      </c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2.0" customHeight="1">
      <c r="A606" s="27"/>
      <c r="B606" s="27"/>
      <c r="C606" s="27"/>
      <c r="D606" s="27" t="s">
        <v>3693</v>
      </c>
      <c r="E606" s="27"/>
      <c r="F606" s="27">
        <v>1.0</v>
      </c>
      <c r="G606" s="27">
        <v>2.0</v>
      </c>
      <c r="H606" s="27"/>
      <c r="I606" s="27"/>
      <c r="J606" s="27"/>
      <c r="K606" s="61">
        <v>2000.0</v>
      </c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2.0" customHeight="1">
      <c r="A607" s="22"/>
      <c r="B607" s="22"/>
      <c r="C607" s="22"/>
      <c r="D607" s="27" t="s">
        <v>3694</v>
      </c>
      <c r="F607" s="27">
        <v>1.0</v>
      </c>
      <c r="G607" s="27">
        <v>2.0</v>
      </c>
      <c r="K607" s="61">
        <v>2000.0</v>
      </c>
    </row>
    <row r="608" ht="12.0" customHeight="1">
      <c r="A608" s="22"/>
      <c r="B608" s="22"/>
      <c r="C608" s="22"/>
      <c r="D608" s="27" t="s">
        <v>3695</v>
      </c>
      <c r="F608" s="27">
        <v>1.0</v>
      </c>
      <c r="G608" s="27">
        <v>2.0</v>
      </c>
      <c r="K608" s="61">
        <v>5000.0</v>
      </c>
    </row>
    <row r="609" ht="12.0" customHeight="1">
      <c r="A609" s="22"/>
      <c r="B609" s="22"/>
      <c r="C609" s="22"/>
      <c r="D609" s="27" t="s">
        <v>3696</v>
      </c>
      <c r="F609" s="27">
        <v>1.0</v>
      </c>
      <c r="G609" s="27">
        <v>2.0</v>
      </c>
      <c r="K609" s="61">
        <v>4000.0</v>
      </c>
    </row>
    <row r="610" ht="12.0" customHeight="1">
      <c r="A610" s="22"/>
      <c r="B610" s="22"/>
      <c r="C610" s="22"/>
      <c r="D610" s="27" t="s">
        <v>3697</v>
      </c>
      <c r="F610" s="27">
        <v>1.0</v>
      </c>
      <c r="G610" s="27">
        <v>2.0</v>
      </c>
      <c r="K610" s="61">
        <v>5000.0</v>
      </c>
    </row>
    <row r="611" ht="12.0" customHeight="1">
      <c r="A611" s="22"/>
      <c r="B611" s="22"/>
      <c r="C611" s="22"/>
      <c r="D611" s="27" t="s">
        <v>3698</v>
      </c>
      <c r="F611" s="27">
        <v>1.0</v>
      </c>
      <c r="G611" s="27">
        <v>2.0</v>
      </c>
      <c r="K611" s="61">
        <v>4000.0</v>
      </c>
    </row>
    <row r="612" ht="12.0" customHeight="1">
      <c r="A612" s="22"/>
      <c r="B612" s="22"/>
      <c r="C612" s="22"/>
      <c r="D612" s="27" t="s">
        <v>3699</v>
      </c>
      <c r="F612" s="27">
        <v>1.0</v>
      </c>
      <c r="G612" s="27">
        <v>2.0</v>
      </c>
      <c r="K612" s="61">
        <v>6000.0</v>
      </c>
    </row>
    <row r="613" ht="12.0" customHeight="1">
      <c r="A613" s="22"/>
      <c r="B613" s="22"/>
      <c r="C613" s="22"/>
      <c r="D613" s="27" t="s">
        <v>3700</v>
      </c>
      <c r="F613" s="27">
        <v>1.0</v>
      </c>
      <c r="G613" s="27">
        <v>2.0</v>
      </c>
      <c r="K613" s="61">
        <v>2000.0</v>
      </c>
    </row>
    <row r="614" ht="12.0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49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2.0" customHeight="1">
      <c r="A615" s="56" t="s">
        <v>3701</v>
      </c>
      <c r="B615" s="22"/>
      <c r="C615" s="22"/>
      <c r="D615" s="22"/>
      <c r="K615" s="49"/>
    </row>
    <row r="616" ht="12.0" customHeight="1">
      <c r="A616" s="56"/>
      <c r="B616" s="56" t="s">
        <v>2867</v>
      </c>
      <c r="C616" s="27"/>
      <c r="D616" s="27"/>
      <c r="E616" s="27"/>
      <c r="F616" s="27"/>
      <c r="G616" s="57" t="s">
        <v>12</v>
      </c>
      <c r="H616" s="27"/>
      <c r="I616" s="27"/>
      <c r="J616" s="27"/>
      <c r="K616" s="69" t="s">
        <v>22</v>
      </c>
      <c r="L616" s="60" t="s">
        <v>3702</v>
      </c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2.0" customHeight="1">
      <c r="A617" s="56"/>
      <c r="B617" s="27"/>
      <c r="C617" s="27"/>
      <c r="D617" s="27" t="s">
        <v>3703</v>
      </c>
      <c r="E617" s="27"/>
      <c r="F617" s="27"/>
      <c r="G617" s="27">
        <v>1.0</v>
      </c>
      <c r="H617" s="27"/>
      <c r="I617" s="27"/>
      <c r="J617" s="27"/>
      <c r="K617" s="49">
        <v>50.0</v>
      </c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2.75" customHeight="1">
      <c r="A618" s="56"/>
      <c r="B618" s="27"/>
      <c r="C618" s="27"/>
      <c r="D618" s="27" t="s">
        <v>3704</v>
      </c>
      <c r="E618" s="27"/>
      <c r="F618" s="27"/>
      <c r="G618" s="27">
        <v>1.0</v>
      </c>
      <c r="H618" s="27"/>
      <c r="I618" s="27"/>
      <c r="J618" s="27"/>
      <c r="K618" s="61">
        <v>75.0</v>
      </c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2.75" customHeight="1">
      <c r="A619" s="56"/>
      <c r="B619" s="56" t="s">
        <v>3705</v>
      </c>
      <c r="C619" s="27"/>
      <c r="D619" s="27"/>
      <c r="E619" s="27"/>
      <c r="F619" s="27"/>
      <c r="G619" s="27"/>
      <c r="H619" s="27" t="s">
        <v>3706</v>
      </c>
      <c r="I619" s="27"/>
      <c r="J619" s="58">
        <v>1100.0</v>
      </c>
      <c r="K619" s="49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2.0" customHeight="1">
      <c r="A620" s="56"/>
      <c r="B620" s="27"/>
      <c r="C620" s="27"/>
      <c r="D620" s="27" t="s">
        <v>3707</v>
      </c>
      <c r="E620" s="27"/>
      <c r="F620" s="27"/>
      <c r="G620" s="27">
        <v>1.0</v>
      </c>
      <c r="H620" s="27"/>
      <c r="I620" s="27"/>
      <c r="J620" s="27"/>
      <c r="K620" s="49">
        <f t="shared" ref="K620:K628" si="24">$J$619</f>
        <v>1100</v>
      </c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2.0" customHeight="1">
      <c r="A621" s="56"/>
      <c r="B621" s="27"/>
      <c r="C621" s="27"/>
      <c r="D621" s="27" t="s">
        <v>3708</v>
      </c>
      <c r="E621" s="27"/>
      <c r="F621" s="27"/>
      <c r="G621" s="27">
        <v>1.0</v>
      </c>
      <c r="H621" s="27"/>
      <c r="I621" s="27"/>
      <c r="J621" s="27"/>
      <c r="K621" s="49">
        <f t="shared" si="24"/>
        <v>1100</v>
      </c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2.0" customHeight="1">
      <c r="A622" s="56"/>
      <c r="B622" s="27"/>
      <c r="C622" s="27"/>
      <c r="D622" s="27" t="s">
        <v>3709</v>
      </c>
      <c r="E622" s="27"/>
      <c r="F622" s="27"/>
      <c r="G622" s="27">
        <v>1.0</v>
      </c>
      <c r="H622" s="27"/>
      <c r="I622" s="27"/>
      <c r="J622" s="27"/>
      <c r="K622" s="49">
        <f t="shared" si="24"/>
        <v>1100</v>
      </c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0" customHeight="1">
      <c r="A623" s="56"/>
      <c r="B623" s="27"/>
      <c r="C623" s="27"/>
      <c r="D623" s="27" t="s">
        <v>3710</v>
      </c>
      <c r="E623" s="27"/>
      <c r="F623" s="27"/>
      <c r="G623" s="27">
        <v>1.0</v>
      </c>
      <c r="H623" s="27"/>
      <c r="I623" s="27"/>
      <c r="J623" s="27"/>
      <c r="K623" s="49">
        <f t="shared" si="24"/>
        <v>1100</v>
      </c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2.0" customHeight="1">
      <c r="A624" s="56"/>
      <c r="B624" s="27"/>
      <c r="C624" s="27"/>
      <c r="D624" s="27" t="s">
        <v>3711</v>
      </c>
      <c r="E624" s="27"/>
      <c r="F624" s="27"/>
      <c r="G624" s="27">
        <v>1.0</v>
      </c>
      <c r="H624" s="27"/>
      <c r="I624" s="27"/>
      <c r="J624" s="27"/>
      <c r="K624" s="49">
        <f t="shared" si="24"/>
        <v>1100</v>
      </c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2.0" customHeight="1">
      <c r="A625" s="56"/>
      <c r="B625" s="27"/>
      <c r="C625" s="27"/>
      <c r="D625" s="27" t="s">
        <v>3712</v>
      </c>
      <c r="E625" s="27"/>
      <c r="F625" s="27"/>
      <c r="G625" s="27">
        <v>1.0</v>
      </c>
      <c r="H625" s="27"/>
      <c r="I625" s="27"/>
      <c r="J625" s="27"/>
      <c r="K625" s="49">
        <f t="shared" si="24"/>
        <v>1100</v>
      </c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2.0" customHeight="1">
      <c r="A626" s="56"/>
      <c r="B626" s="27"/>
      <c r="C626" s="27"/>
      <c r="D626" s="27" t="s">
        <v>3713</v>
      </c>
      <c r="E626" s="27"/>
      <c r="F626" s="27"/>
      <c r="G626" s="27">
        <v>1.0</v>
      </c>
      <c r="H626" s="27"/>
      <c r="I626" s="27"/>
      <c r="J626" s="27"/>
      <c r="K626" s="49">
        <f t="shared" si="24"/>
        <v>1100</v>
      </c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2.0" customHeight="1">
      <c r="A627" s="56"/>
      <c r="B627" s="27"/>
      <c r="C627" s="27"/>
      <c r="D627" s="27" t="s">
        <v>3714</v>
      </c>
      <c r="E627" s="27"/>
      <c r="F627" s="27"/>
      <c r="G627" s="27">
        <v>1.0</v>
      </c>
      <c r="H627" s="27"/>
      <c r="I627" s="27"/>
      <c r="J627" s="27"/>
      <c r="K627" s="49">
        <f t="shared" si="24"/>
        <v>1100</v>
      </c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2.75" customHeight="1">
      <c r="A628" s="56"/>
      <c r="B628" s="27"/>
      <c r="C628" s="27"/>
      <c r="D628" s="27" t="s">
        <v>3715</v>
      </c>
      <c r="E628" s="27"/>
      <c r="F628" s="27"/>
      <c r="G628" s="27">
        <v>1.0</v>
      </c>
      <c r="H628" s="27"/>
      <c r="I628" s="27"/>
      <c r="J628" s="27"/>
      <c r="K628" s="49">
        <f t="shared" si="24"/>
        <v>1100</v>
      </c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2.75" customHeight="1">
      <c r="A629" s="56"/>
      <c r="B629" s="56" t="s">
        <v>3716</v>
      </c>
      <c r="C629" s="27"/>
      <c r="D629" s="27"/>
      <c r="E629" s="27"/>
      <c r="F629" s="27"/>
      <c r="G629" s="27"/>
      <c r="H629" s="27" t="s">
        <v>3717</v>
      </c>
      <c r="I629" s="27"/>
      <c r="J629" s="58">
        <v>2500.0</v>
      </c>
      <c r="K629" s="49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2.0" customHeight="1">
      <c r="A630" s="56"/>
      <c r="B630" s="27"/>
      <c r="C630" s="27"/>
      <c r="D630" s="27" t="s">
        <v>3718</v>
      </c>
      <c r="E630" s="27"/>
      <c r="F630" s="27"/>
      <c r="G630" s="27">
        <v>1.0</v>
      </c>
      <c r="H630" s="27"/>
      <c r="I630" s="27"/>
      <c r="J630" s="27"/>
      <c r="K630" s="49">
        <f t="shared" ref="K630:K638" si="25">$J$629</f>
        <v>2500</v>
      </c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2.0" customHeight="1">
      <c r="A631" s="56"/>
      <c r="B631" s="27"/>
      <c r="C631" s="27"/>
      <c r="D631" s="27" t="s">
        <v>3719</v>
      </c>
      <c r="E631" s="27"/>
      <c r="F631" s="27"/>
      <c r="G631" s="27">
        <v>1.0</v>
      </c>
      <c r="H631" s="27"/>
      <c r="I631" s="27"/>
      <c r="J631" s="27"/>
      <c r="K631" s="49">
        <f t="shared" si="25"/>
        <v>2500</v>
      </c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2.0" customHeight="1">
      <c r="A632" s="56"/>
      <c r="B632" s="27"/>
      <c r="C632" s="27"/>
      <c r="D632" s="27" t="s">
        <v>3720</v>
      </c>
      <c r="E632" s="27"/>
      <c r="F632" s="27"/>
      <c r="G632" s="27">
        <v>1.0</v>
      </c>
      <c r="H632" s="27"/>
      <c r="I632" s="27"/>
      <c r="J632" s="27"/>
      <c r="K632" s="49">
        <f t="shared" si="25"/>
        <v>2500</v>
      </c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2.0" customHeight="1">
      <c r="A633" s="56"/>
      <c r="B633" s="27"/>
      <c r="C633" s="27"/>
      <c r="D633" s="27" t="s">
        <v>3721</v>
      </c>
      <c r="E633" s="27"/>
      <c r="F633" s="27"/>
      <c r="G633" s="27">
        <v>1.0</v>
      </c>
      <c r="H633" s="27"/>
      <c r="I633" s="27"/>
      <c r="J633" s="27"/>
      <c r="K633" s="49">
        <f t="shared" si="25"/>
        <v>2500</v>
      </c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2.0" customHeight="1">
      <c r="A634" s="56"/>
      <c r="B634" s="27"/>
      <c r="C634" s="27"/>
      <c r="D634" s="27" t="s">
        <v>3722</v>
      </c>
      <c r="E634" s="27"/>
      <c r="F634" s="27"/>
      <c r="G634" s="27">
        <v>1.0</v>
      </c>
      <c r="H634" s="27"/>
      <c r="I634" s="27"/>
      <c r="J634" s="27"/>
      <c r="K634" s="49">
        <f t="shared" si="25"/>
        <v>2500</v>
      </c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2.0" customHeight="1">
      <c r="A635" s="56"/>
      <c r="B635" s="27"/>
      <c r="C635" s="27"/>
      <c r="D635" s="27" t="s">
        <v>3723</v>
      </c>
      <c r="E635" s="27"/>
      <c r="F635" s="27"/>
      <c r="G635" s="27">
        <v>1.0</v>
      </c>
      <c r="H635" s="27"/>
      <c r="I635" s="27"/>
      <c r="J635" s="27"/>
      <c r="K635" s="49">
        <f t="shared" si="25"/>
        <v>2500</v>
      </c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2.0" customHeight="1">
      <c r="A636" s="56"/>
      <c r="B636" s="27"/>
      <c r="C636" s="27"/>
      <c r="D636" s="27" t="s">
        <v>3724</v>
      </c>
      <c r="E636" s="27"/>
      <c r="F636" s="27"/>
      <c r="G636" s="27">
        <v>1.0</v>
      </c>
      <c r="H636" s="27"/>
      <c r="I636" s="27"/>
      <c r="J636" s="27"/>
      <c r="K636" s="49">
        <f t="shared" si="25"/>
        <v>2500</v>
      </c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2.0" customHeight="1">
      <c r="A637" s="56"/>
      <c r="B637" s="27"/>
      <c r="C637" s="27"/>
      <c r="D637" s="27" t="s">
        <v>3725</v>
      </c>
      <c r="E637" s="27"/>
      <c r="F637" s="27"/>
      <c r="G637" s="27">
        <v>1.0</v>
      </c>
      <c r="H637" s="27"/>
      <c r="I637" s="27"/>
      <c r="J637" s="27"/>
      <c r="K637" s="49">
        <f t="shared" si="25"/>
        <v>2500</v>
      </c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2.75" customHeight="1">
      <c r="A638" s="56"/>
      <c r="B638" s="27"/>
      <c r="C638" s="27"/>
      <c r="D638" s="27" t="s">
        <v>3726</v>
      </c>
      <c r="E638" s="27"/>
      <c r="F638" s="27"/>
      <c r="G638" s="27">
        <v>1.0</v>
      </c>
      <c r="H638" s="27"/>
      <c r="I638" s="27"/>
      <c r="J638" s="27"/>
      <c r="K638" s="49">
        <f t="shared" si="25"/>
        <v>2500</v>
      </c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2.75" customHeight="1">
      <c r="A639" s="56"/>
      <c r="B639" s="56" t="s">
        <v>3727</v>
      </c>
      <c r="C639" s="27"/>
      <c r="D639" s="27"/>
      <c r="E639" s="27"/>
      <c r="F639" s="27"/>
      <c r="G639" s="27"/>
      <c r="H639" s="27" t="s">
        <v>3728</v>
      </c>
      <c r="I639" s="27"/>
      <c r="J639" s="58">
        <v>6000.0</v>
      </c>
      <c r="K639" s="49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2.0" customHeight="1">
      <c r="A640" s="56"/>
      <c r="B640" s="27"/>
      <c r="C640" s="27"/>
      <c r="D640" s="27" t="s">
        <v>3729</v>
      </c>
      <c r="E640" s="27"/>
      <c r="F640" s="27"/>
      <c r="G640" s="27">
        <v>1.0</v>
      </c>
      <c r="H640" s="27"/>
      <c r="I640" s="27"/>
      <c r="J640" s="27"/>
      <c r="K640" s="49">
        <f t="shared" ref="K640:K644" si="26">$J$639</f>
        <v>6000</v>
      </c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2.0" customHeight="1">
      <c r="A641" s="56"/>
      <c r="B641" s="27"/>
      <c r="C641" s="27"/>
      <c r="D641" s="27" t="s">
        <v>3730</v>
      </c>
      <c r="E641" s="27"/>
      <c r="F641" s="27"/>
      <c r="G641" s="27">
        <v>1.0</v>
      </c>
      <c r="H641" s="27"/>
      <c r="I641" s="27"/>
      <c r="J641" s="27"/>
      <c r="K641" s="49">
        <f t="shared" si="26"/>
        <v>6000</v>
      </c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2.0" customHeight="1">
      <c r="A642" s="56"/>
      <c r="B642" s="27"/>
      <c r="C642" s="27"/>
      <c r="D642" s="27" t="s">
        <v>3731</v>
      </c>
      <c r="E642" s="27"/>
      <c r="F642" s="27"/>
      <c r="G642" s="27">
        <v>1.0</v>
      </c>
      <c r="H642" s="27"/>
      <c r="I642" s="27"/>
      <c r="J642" s="27"/>
      <c r="K642" s="49">
        <f t="shared" si="26"/>
        <v>6000</v>
      </c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2.0" customHeight="1">
      <c r="A643" s="56"/>
      <c r="B643" s="27"/>
      <c r="C643" s="27"/>
      <c r="D643" s="27" t="s">
        <v>3732</v>
      </c>
      <c r="E643" s="27"/>
      <c r="F643" s="27"/>
      <c r="G643" s="27">
        <v>1.0</v>
      </c>
      <c r="H643" s="27"/>
      <c r="I643" s="27"/>
      <c r="J643" s="27"/>
      <c r="K643" s="49">
        <f t="shared" si="26"/>
        <v>6000</v>
      </c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2.75" customHeight="1">
      <c r="A644" s="56"/>
      <c r="B644" s="27"/>
      <c r="C644" s="27"/>
      <c r="D644" s="27" t="s">
        <v>3733</v>
      </c>
      <c r="E644" s="27"/>
      <c r="F644" s="27"/>
      <c r="G644" s="27">
        <v>1.0</v>
      </c>
      <c r="H644" s="27"/>
      <c r="I644" s="27"/>
      <c r="J644" s="27"/>
      <c r="K644" s="49">
        <f t="shared" si="26"/>
        <v>6000</v>
      </c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2.75" customHeight="1">
      <c r="A645" s="56"/>
      <c r="B645" s="56" t="s">
        <v>3734</v>
      </c>
      <c r="C645" s="27"/>
      <c r="D645" s="27"/>
      <c r="E645" s="27"/>
      <c r="F645" s="27"/>
      <c r="G645" s="27"/>
      <c r="H645" s="27" t="s">
        <v>3735</v>
      </c>
      <c r="I645" s="27"/>
      <c r="J645" s="58">
        <v>6000.0</v>
      </c>
      <c r="K645" s="49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0" customHeight="1">
      <c r="A646" s="56"/>
      <c r="B646" s="27"/>
      <c r="C646" s="27"/>
      <c r="D646" s="27" t="s">
        <v>3736</v>
      </c>
      <c r="E646" s="27"/>
      <c r="F646" s="27"/>
      <c r="G646" s="27">
        <v>1.0</v>
      </c>
      <c r="H646" s="27"/>
      <c r="I646" s="27"/>
      <c r="J646" s="27"/>
      <c r="K646" s="49">
        <f t="shared" ref="K646:K648" si="27">$J$645</f>
        <v>6000</v>
      </c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2.0" customHeight="1">
      <c r="A647" s="56"/>
      <c r="B647" s="27"/>
      <c r="C647" s="27"/>
      <c r="D647" s="27" t="s">
        <v>3737</v>
      </c>
      <c r="E647" s="27"/>
      <c r="F647" s="27"/>
      <c r="G647" s="27">
        <v>1.0</v>
      </c>
      <c r="H647" s="27"/>
      <c r="I647" s="27"/>
      <c r="J647" s="27"/>
      <c r="K647" s="49">
        <f t="shared" si="27"/>
        <v>6000</v>
      </c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2.0" customHeight="1">
      <c r="A648" s="56"/>
      <c r="B648" s="27"/>
      <c r="C648" s="27"/>
      <c r="D648" s="27" t="s">
        <v>3738</v>
      </c>
      <c r="E648" s="27"/>
      <c r="F648" s="27"/>
      <c r="G648" s="27">
        <v>1.0</v>
      </c>
      <c r="H648" s="27"/>
      <c r="I648" s="27"/>
      <c r="J648" s="27"/>
      <c r="K648" s="49">
        <f t="shared" si="27"/>
        <v>6000</v>
      </c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2.0" customHeight="1">
      <c r="A649" s="56"/>
      <c r="B649" s="27"/>
      <c r="C649" s="27"/>
      <c r="D649" s="27"/>
      <c r="E649" s="27"/>
      <c r="F649" s="27"/>
      <c r="G649" s="27"/>
      <c r="H649" s="27"/>
      <c r="I649" s="27"/>
      <c r="J649" s="27"/>
      <c r="K649" s="49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2.0" customHeight="1">
      <c r="A650" s="56"/>
      <c r="B650" s="27"/>
      <c r="C650" s="27"/>
      <c r="D650" s="27"/>
      <c r="E650" s="27"/>
      <c r="F650" s="27"/>
      <c r="G650" s="27"/>
      <c r="H650" s="27"/>
      <c r="I650" s="27"/>
      <c r="J650" s="27"/>
      <c r="K650" s="49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75" customHeight="1">
      <c r="A651" s="56"/>
      <c r="B651" s="27"/>
      <c r="C651" s="27"/>
      <c r="D651" s="27"/>
      <c r="E651" s="27"/>
      <c r="F651" s="27"/>
      <c r="G651" s="27"/>
      <c r="H651" s="27"/>
      <c r="I651" s="27"/>
      <c r="J651" s="27"/>
      <c r="K651" s="49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75" customHeight="1">
      <c r="A652" s="56"/>
      <c r="B652" s="56" t="s">
        <v>3739</v>
      </c>
      <c r="C652" s="27"/>
      <c r="D652" s="27"/>
      <c r="E652" s="27"/>
      <c r="F652" s="27"/>
      <c r="G652" s="27"/>
      <c r="H652" s="27" t="s">
        <v>3740</v>
      </c>
      <c r="I652" s="27"/>
      <c r="J652" s="58">
        <v>12000.0</v>
      </c>
      <c r="K652" s="49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0" customHeight="1">
      <c r="A653" s="22"/>
      <c r="B653" s="22"/>
      <c r="C653" s="22"/>
      <c r="D653" s="22" t="s">
        <v>3741</v>
      </c>
      <c r="G653" s="27">
        <v>1.0</v>
      </c>
      <c r="K653" s="49">
        <f t="shared" ref="K653:K664" si="28">$J$652</f>
        <v>12000</v>
      </c>
    </row>
    <row r="654" ht="12.0" customHeight="1">
      <c r="A654" s="22"/>
      <c r="B654" s="22"/>
      <c r="C654" s="22"/>
      <c r="D654" s="22" t="s">
        <v>3742</v>
      </c>
      <c r="G654" s="27">
        <v>1.0</v>
      </c>
      <c r="K654" s="49">
        <f t="shared" si="28"/>
        <v>12000</v>
      </c>
    </row>
    <row r="655" ht="12.0" customHeight="1">
      <c r="A655" s="22"/>
      <c r="B655" s="22"/>
      <c r="C655" s="22"/>
      <c r="D655" s="22" t="s">
        <v>3743</v>
      </c>
      <c r="G655" s="27">
        <v>1.0</v>
      </c>
      <c r="K655" s="49">
        <f t="shared" si="28"/>
        <v>12000</v>
      </c>
    </row>
    <row r="656" ht="12.0" customHeight="1">
      <c r="A656" s="22"/>
      <c r="B656" s="22"/>
      <c r="C656" s="22"/>
      <c r="D656" s="22" t="s">
        <v>3744</v>
      </c>
      <c r="G656" s="27">
        <v>1.0</v>
      </c>
      <c r="K656" s="49">
        <f t="shared" si="28"/>
        <v>12000</v>
      </c>
    </row>
    <row r="657" ht="12.0" customHeight="1">
      <c r="A657" s="22"/>
      <c r="B657" s="22"/>
      <c r="C657" s="22"/>
      <c r="D657" s="22" t="s">
        <v>3745</v>
      </c>
      <c r="G657" s="27">
        <v>1.0</v>
      </c>
      <c r="K657" s="49">
        <f t="shared" si="28"/>
        <v>12000</v>
      </c>
    </row>
    <row r="658" ht="12.0" customHeight="1">
      <c r="A658" s="22"/>
      <c r="B658" s="22"/>
      <c r="C658" s="22"/>
      <c r="D658" s="22" t="s">
        <v>3746</v>
      </c>
      <c r="G658" s="27">
        <v>1.0</v>
      </c>
      <c r="K658" s="49">
        <f t="shared" si="28"/>
        <v>12000</v>
      </c>
    </row>
    <row r="659" ht="12.0" customHeight="1">
      <c r="A659" s="22"/>
      <c r="B659" s="22"/>
      <c r="C659" s="22"/>
      <c r="D659" s="22" t="s">
        <v>3747</v>
      </c>
      <c r="G659" s="27">
        <v>1.0</v>
      </c>
      <c r="K659" s="49">
        <f t="shared" si="28"/>
        <v>12000</v>
      </c>
    </row>
    <row r="660" ht="12.0" customHeight="1">
      <c r="A660" s="22"/>
      <c r="B660" s="22"/>
      <c r="C660" s="22"/>
      <c r="D660" s="22" t="s">
        <v>3748</v>
      </c>
      <c r="G660" s="27">
        <v>1.0</v>
      </c>
      <c r="K660" s="49">
        <f t="shared" si="28"/>
        <v>12000</v>
      </c>
    </row>
    <row r="661" ht="12.0" customHeight="1">
      <c r="A661" s="22"/>
      <c r="B661" s="22"/>
      <c r="C661" s="22"/>
      <c r="D661" s="22" t="s">
        <v>3749</v>
      </c>
      <c r="G661" s="27">
        <v>1.0</v>
      </c>
      <c r="K661" s="49">
        <f t="shared" si="28"/>
        <v>12000</v>
      </c>
    </row>
    <row r="662" ht="12.0" customHeight="1">
      <c r="A662" s="22"/>
      <c r="B662" s="22"/>
      <c r="C662" s="22"/>
      <c r="D662" s="22" t="s">
        <v>3750</v>
      </c>
      <c r="G662" s="27">
        <v>1.0</v>
      </c>
      <c r="K662" s="49">
        <f t="shared" si="28"/>
        <v>12000</v>
      </c>
    </row>
    <row r="663" ht="12.0" customHeight="1">
      <c r="A663" s="22"/>
      <c r="B663" s="22"/>
      <c r="C663" s="22"/>
      <c r="D663" s="22" t="s">
        <v>3751</v>
      </c>
      <c r="G663" s="27">
        <v>1.0</v>
      </c>
      <c r="K663" s="49">
        <f t="shared" si="28"/>
        <v>12000</v>
      </c>
    </row>
    <row r="664" ht="12.75" customHeight="1">
      <c r="A664" s="22"/>
      <c r="B664" s="22"/>
      <c r="C664" s="22"/>
      <c r="D664" s="22" t="s">
        <v>3752</v>
      </c>
      <c r="G664" s="27">
        <v>1.0</v>
      </c>
      <c r="K664" s="49">
        <f t="shared" si="28"/>
        <v>12000</v>
      </c>
    </row>
    <row r="665" ht="12.75" customHeight="1">
      <c r="A665" s="22"/>
      <c r="B665" s="56" t="s">
        <v>3753</v>
      </c>
      <c r="C665" s="22"/>
      <c r="D665" s="22"/>
      <c r="H665" s="22" t="s">
        <v>3754</v>
      </c>
      <c r="J665" s="58">
        <v>14000.0</v>
      </c>
      <c r="K665" s="49"/>
    </row>
    <row r="666" ht="12.0" customHeight="1">
      <c r="A666" s="27"/>
      <c r="B666" s="27"/>
      <c r="C666" s="27"/>
      <c r="D666" s="27" t="s">
        <v>3755</v>
      </c>
      <c r="E666" s="27"/>
      <c r="F666" s="27"/>
      <c r="G666" s="27">
        <v>1.0</v>
      </c>
      <c r="H666" s="27"/>
      <c r="I666" s="27"/>
      <c r="J666" s="27"/>
      <c r="K666" s="49">
        <f t="shared" ref="K666:K671" si="29">$J$665</f>
        <v>14000</v>
      </c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2.0" customHeight="1">
      <c r="A667" s="27"/>
      <c r="B667" s="27"/>
      <c r="C667" s="27"/>
      <c r="D667" s="27" t="s">
        <v>3756</v>
      </c>
      <c r="E667" s="27"/>
      <c r="F667" s="27"/>
      <c r="G667" s="27">
        <v>1.0</v>
      </c>
      <c r="H667" s="27"/>
      <c r="I667" s="27"/>
      <c r="J667" s="27"/>
      <c r="K667" s="49">
        <f t="shared" si="29"/>
        <v>14000</v>
      </c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2.0" customHeight="1">
      <c r="A668" s="27"/>
      <c r="B668" s="27"/>
      <c r="C668" s="27"/>
      <c r="D668" s="27" t="s">
        <v>3757</v>
      </c>
      <c r="E668" s="27"/>
      <c r="F668" s="27"/>
      <c r="G668" s="27">
        <v>1.0</v>
      </c>
      <c r="H668" s="27"/>
      <c r="I668" s="27"/>
      <c r="J668" s="27"/>
      <c r="K668" s="49">
        <f t="shared" si="29"/>
        <v>14000</v>
      </c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2.0" customHeight="1">
      <c r="A669" s="27"/>
      <c r="B669" s="27"/>
      <c r="C669" s="27"/>
      <c r="D669" s="27" t="s">
        <v>3758</v>
      </c>
      <c r="E669" s="27"/>
      <c r="F669" s="27"/>
      <c r="G669" s="27">
        <v>1.0</v>
      </c>
      <c r="H669" s="27"/>
      <c r="I669" s="27"/>
      <c r="J669" s="27"/>
      <c r="K669" s="49">
        <f t="shared" si="29"/>
        <v>14000</v>
      </c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2.0" customHeight="1">
      <c r="A670" s="27"/>
      <c r="B670" s="27"/>
      <c r="C670" s="27"/>
      <c r="D670" s="27" t="s">
        <v>3759</v>
      </c>
      <c r="E670" s="27"/>
      <c r="F670" s="27"/>
      <c r="G670" s="27">
        <v>1.0</v>
      </c>
      <c r="H670" s="27"/>
      <c r="I670" s="27"/>
      <c r="J670" s="27"/>
      <c r="K670" s="49">
        <f t="shared" si="29"/>
        <v>14000</v>
      </c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2.75" customHeight="1">
      <c r="A671" s="27"/>
      <c r="B671" s="27"/>
      <c r="C671" s="27"/>
      <c r="D671" s="27" t="s">
        <v>3760</v>
      </c>
      <c r="E671" s="27"/>
      <c r="F671" s="27"/>
      <c r="G671" s="27">
        <v>1.0</v>
      </c>
      <c r="H671" s="27"/>
      <c r="I671" s="27"/>
      <c r="J671" s="27"/>
      <c r="K671" s="49">
        <f t="shared" si="29"/>
        <v>14000</v>
      </c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2.75" customHeight="1">
      <c r="A672" s="27"/>
      <c r="B672" s="56" t="s">
        <v>3761</v>
      </c>
      <c r="C672" s="27"/>
      <c r="D672" s="27"/>
      <c r="E672" s="27"/>
      <c r="F672" s="27"/>
      <c r="G672" s="27"/>
      <c r="H672" s="27" t="s">
        <v>3762</v>
      </c>
      <c r="I672" s="27"/>
      <c r="J672" s="58">
        <v>14000.0</v>
      </c>
      <c r="K672" s="49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2.0" customHeight="1">
      <c r="A673" s="27"/>
      <c r="B673" s="27"/>
      <c r="C673" s="27"/>
      <c r="D673" s="27" t="s">
        <v>3763</v>
      </c>
      <c r="E673" s="27"/>
      <c r="F673" s="27"/>
      <c r="G673" s="27">
        <v>1.0</v>
      </c>
      <c r="H673" s="27"/>
      <c r="I673" s="27"/>
      <c r="J673" s="27"/>
      <c r="K673" s="49">
        <f t="shared" ref="K673:K676" si="30">$J$672</f>
        <v>14000</v>
      </c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2.0" customHeight="1">
      <c r="A674" s="27"/>
      <c r="B674" s="27"/>
      <c r="C674" s="27"/>
      <c r="D674" s="27" t="s">
        <v>3764</v>
      </c>
      <c r="E674" s="27"/>
      <c r="F674" s="27"/>
      <c r="G674" s="27">
        <v>1.0</v>
      </c>
      <c r="H674" s="27"/>
      <c r="I674" s="27"/>
      <c r="J674" s="27"/>
      <c r="K674" s="49">
        <f t="shared" si="30"/>
        <v>14000</v>
      </c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2.0" customHeight="1">
      <c r="A675" s="27"/>
      <c r="B675" s="27"/>
      <c r="C675" s="27"/>
      <c r="D675" s="27" t="s">
        <v>3765</v>
      </c>
      <c r="E675" s="27"/>
      <c r="F675" s="27"/>
      <c r="G675" s="27">
        <v>1.0</v>
      </c>
      <c r="H675" s="27"/>
      <c r="I675" s="27"/>
      <c r="J675" s="27"/>
      <c r="K675" s="49">
        <f t="shared" si="30"/>
        <v>14000</v>
      </c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2.0" customHeight="1">
      <c r="A676" s="27"/>
      <c r="B676" s="27"/>
      <c r="C676" s="27"/>
      <c r="D676" s="27" t="s">
        <v>3766</v>
      </c>
      <c r="E676" s="27"/>
      <c r="F676" s="27"/>
      <c r="G676" s="27">
        <v>1.0</v>
      </c>
      <c r="H676" s="27"/>
      <c r="I676" s="27"/>
      <c r="J676" s="27"/>
      <c r="K676" s="49">
        <f t="shared" si="30"/>
        <v>14000</v>
      </c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0" customHeight="1">
      <c r="A677" s="27"/>
      <c r="B677" s="56" t="s">
        <v>3767</v>
      </c>
      <c r="C677" s="27"/>
      <c r="D677" s="27"/>
      <c r="E677" s="27"/>
      <c r="F677" s="27"/>
      <c r="G677" s="27"/>
      <c r="H677" s="27"/>
      <c r="I677" s="27"/>
      <c r="J677" s="27"/>
      <c r="K677" s="49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75" customHeight="1">
      <c r="A678" s="27"/>
      <c r="B678" s="27"/>
      <c r="C678" s="27"/>
      <c r="D678" s="27" t="s">
        <v>3768</v>
      </c>
      <c r="E678" s="27"/>
      <c r="F678" s="27"/>
      <c r="G678" s="27">
        <v>1.0</v>
      </c>
      <c r="H678" s="27"/>
      <c r="I678" s="27"/>
      <c r="J678" s="27"/>
      <c r="K678" s="49">
        <v>20000.0</v>
      </c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75" customHeight="1">
      <c r="A679" s="27"/>
      <c r="B679" s="56" t="s">
        <v>3769</v>
      </c>
      <c r="C679" s="27"/>
      <c r="D679" s="27"/>
      <c r="E679" s="27"/>
      <c r="F679" s="27"/>
      <c r="G679" s="27"/>
      <c r="H679" s="27" t="s">
        <v>3770</v>
      </c>
      <c r="I679" s="27"/>
      <c r="J679" s="91">
        <v>16000.0</v>
      </c>
      <c r="K679" s="49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2.0" customHeight="1">
      <c r="A680" s="27"/>
      <c r="B680" s="27"/>
      <c r="C680" s="27"/>
      <c r="D680" s="27" t="s">
        <v>3771</v>
      </c>
      <c r="E680" s="27"/>
      <c r="F680" s="27"/>
      <c r="G680" s="27">
        <v>1.0</v>
      </c>
      <c r="H680" s="27"/>
      <c r="I680" s="27"/>
      <c r="J680" s="27"/>
      <c r="K680" s="49">
        <f t="shared" ref="K680:K700" si="31">$J$679</f>
        <v>16000</v>
      </c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2.0" customHeight="1">
      <c r="A681" s="27"/>
      <c r="B681" s="27"/>
      <c r="C681" s="27"/>
      <c r="D681" s="27" t="s">
        <v>3772</v>
      </c>
      <c r="E681" s="27"/>
      <c r="F681" s="27"/>
      <c r="G681" s="27">
        <v>1.0</v>
      </c>
      <c r="H681" s="27"/>
      <c r="I681" s="27"/>
      <c r="J681" s="27"/>
      <c r="K681" s="49">
        <f t="shared" si="31"/>
        <v>16000</v>
      </c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2.0" customHeight="1">
      <c r="A682" s="27"/>
      <c r="B682" s="27"/>
      <c r="C682" s="27"/>
      <c r="D682" s="27" t="s">
        <v>3773</v>
      </c>
      <c r="E682" s="27"/>
      <c r="F682" s="27"/>
      <c r="G682" s="27">
        <v>1.0</v>
      </c>
      <c r="H682" s="27"/>
      <c r="I682" s="27"/>
      <c r="J682" s="27"/>
      <c r="K682" s="49">
        <f t="shared" si="31"/>
        <v>16000</v>
      </c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2.0" customHeight="1">
      <c r="A683" s="27"/>
      <c r="B683" s="27"/>
      <c r="C683" s="27"/>
      <c r="D683" s="27" t="s">
        <v>3774</v>
      </c>
      <c r="E683" s="27"/>
      <c r="F683" s="27"/>
      <c r="G683" s="27">
        <v>1.0</v>
      </c>
      <c r="H683" s="27"/>
      <c r="I683" s="27"/>
      <c r="J683" s="27"/>
      <c r="K683" s="49">
        <f t="shared" si="31"/>
        <v>16000</v>
      </c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2.0" customHeight="1">
      <c r="A684" s="27"/>
      <c r="B684" s="27"/>
      <c r="C684" s="27"/>
      <c r="D684" s="27" t="s">
        <v>3775</v>
      </c>
      <c r="E684" s="27"/>
      <c r="F684" s="27"/>
      <c r="G684" s="27">
        <v>1.0</v>
      </c>
      <c r="H684" s="27"/>
      <c r="I684" s="27"/>
      <c r="J684" s="27"/>
      <c r="K684" s="49">
        <f t="shared" si="31"/>
        <v>16000</v>
      </c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2.0" customHeight="1">
      <c r="A685" s="27"/>
      <c r="B685" s="27"/>
      <c r="C685" s="27"/>
      <c r="D685" s="27" t="s">
        <v>3776</v>
      </c>
      <c r="E685" s="27"/>
      <c r="F685" s="27"/>
      <c r="G685" s="27">
        <v>1.0</v>
      </c>
      <c r="H685" s="27"/>
      <c r="I685" s="27"/>
      <c r="J685" s="27"/>
      <c r="K685" s="49">
        <f t="shared" si="31"/>
        <v>16000</v>
      </c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0" customHeight="1">
      <c r="A686" s="27"/>
      <c r="B686" s="27"/>
      <c r="C686" s="27"/>
      <c r="D686" s="27" t="s">
        <v>3777</v>
      </c>
      <c r="E686" s="27"/>
      <c r="F686" s="27"/>
      <c r="G686" s="27">
        <v>1.0</v>
      </c>
      <c r="H686" s="27"/>
      <c r="I686" s="27"/>
      <c r="J686" s="27"/>
      <c r="K686" s="49">
        <f t="shared" si="31"/>
        <v>16000</v>
      </c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0" customHeight="1">
      <c r="A687" s="27"/>
      <c r="B687" s="27"/>
      <c r="C687" s="27"/>
      <c r="D687" s="27" t="s">
        <v>3778</v>
      </c>
      <c r="E687" s="27"/>
      <c r="F687" s="27"/>
      <c r="G687" s="27">
        <v>1.0</v>
      </c>
      <c r="H687" s="27"/>
      <c r="I687" s="27"/>
      <c r="J687" s="27"/>
      <c r="K687" s="49">
        <f t="shared" si="31"/>
        <v>16000</v>
      </c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0" customHeight="1">
      <c r="A688" s="27"/>
      <c r="B688" s="27"/>
      <c r="C688" s="27"/>
      <c r="D688" s="27" t="s">
        <v>3779</v>
      </c>
      <c r="E688" s="27"/>
      <c r="F688" s="27"/>
      <c r="G688" s="27">
        <v>1.0</v>
      </c>
      <c r="H688" s="27"/>
      <c r="I688" s="27"/>
      <c r="J688" s="27"/>
      <c r="K688" s="49">
        <f t="shared" si="31"/>
        <v>16000</v>
      </c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2.0" customHeight="1">
      <c r="A689" s="27"/>
      <c r="B689" s="27"/>
      <c r="C689" s="27"/>
      <c r="D689" s="27" t="s">
        <v>3780</v>
      </c>
      <c r="E689" s="27"/>
      <c r="F689" s="27"/>
      <c r="G689" s="27">
        <v>1.0</v>
      </c>
      <c r="H689" s="27"/>
      <c r="I689" s="27"/>
      <c r="J689" s="27"/>
      <c r="K689" s="49">
        <f t="shared" si="31"/>
        <v>16000</v>
      </c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2.0" customHeight="1">
      <c r="A690" s="27"/>
      <c r="B690" s="27"/>
      <c r="C690" s="27"/>
      <c r="D690" s="27" t="s">
        <v>3781</v>
      </c>
      <c r="E690" s="27"/>
      <c r="F690" s="27"/>
      <c r="G690" s="27">
        <v>1.0</v>
      </c>
      <c r="H690" s="27"/>
      <c r="I690" s="27"/>
      <c r="J690" s="27"/>
      <c r="K690" s="49">
        <f t="shared" si="31"/>
        <v>16000</v>
      </c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2.0" customHeight="1">
      <c r="A691" s="27"/>
      <c r="B691" s="27"/>
      <c r="C691" s="27"/>
      <c r="D691" s="27" t="s">
        <v>3782</v>
      </c>
      <c r="E691" s="27"/>
      <c r="F691" s="27"/>
      <c r="G691" s="27">
        <v>1.0</v>
      </c>
      <c r="H691" s="27"/>
      <c r="I691" s="27"/>
      <c r="J691" s="27"/>
      <c r="K691" s="49">
        <f t="shared" si="31"/>
        <v>16000</v>
      </c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2.0" customHeight="1">
      <c r="A692" s="27"/>
      <c r="B692" s="27"/>
      <c r="C692" s="27"/>
      <c r="D692" s="27" t="s">
        <v>3783</v>
      </c>
      <c r="E692" s="27"/>
      <c r="F692" s="27"/>
      <c r="G692" s="27">
        <v>1.0</v>
      </c>
      <c r="H692" s="27"/>
      <c r="I692" s="27"/>
      <c r="J692" s="27"/>
      <c r="K692" s="49">
        <f t="shared" si="31"/>
        <v>16000</v>
      </c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2.0" customHeight="1">
      <c r="A693" s="27"/>
      <c r="B693" s="27"/>
      <c r="C693" s="27"/>
      <c r="D693" s="27" t="s">
        <v>3784</v>
      </c>
      <c r="E693" s="27"/>
      <c r="F693" s="27"/>
      <c r="G693" s="27">
        <v>1.0</v>
      </c>
      <c r="H693" s="27"/>
      <c r="I693" s="27"/>
      <c r="J693" s="27"/>
      <c r="K693" s="49">
        <f t="shared" si="31"/>
        <v>16000</v>
      </c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2.0" customHeight="1">
      <c r="A694" s="27"/>
      <c r="B694" s="27"/>
      <c r="C694" s="27"/>
      <c r="D694" s="27" t="s">
        <v>3785</v>
      </c>
      <c r="E694" s="27"/>
      <c r="F694" s="27"/>
      <c r="G694" s="27">
        <v>1.0</v>
      </c>
      <c r="H694" s="27"/>
      <c r="I694" s="27"/>
      <c r="J694" s="27"/>
      <c r="K694" s="49">
        <f t="shared" si="31"/>
        <v>16000</v>
      </c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2.0" customHeight="1">
      <c r="A695" s="27"/>
      <c r="B695" s="27"/>
      <c r="C695" s="27"/>
      <c r="D695" s="27" t="s">
        <v>3786</v>
      </c>
      <c r="E695" s="27"/>
      <c r="F695" s="27"/>
      <c r="G695" s="27">
        <v>1.0</v>
      </c>
      <c r="H695" s="27"/>
      <c r="I695" s="27"/>
      <c r="J695" s="27"/>
      <c r="K695" s="49">
        <f t="shared" si="31"/>
        <v>16000</v>
      </c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2.0" customHeight="1">
      <c r="A696" s="27"/>
      <c r="B696" s="27"/>
      <c r="C696" s="27"/>
      <c r="D696" s="27" t="s">
        <v>3787</v>
      </c>
      <c r="E696" s="27"/>
      <c r="F696" s="27"/>
      <c r="G696" s="27">
        <v>1.0</v>
      </c>
      <c r="H696" s="27"/>
      <c r="I696" s="27"/>
      <c r="J696" s="27"/>
      <c r="K696" s="49">
        <f t="shared" si="31"/>
        <v>16000</v>
      </c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2.0" customHeight="1">
      <c r="A697" s="27"/>
      <c r="B697" s="27"/>
      <c r="C697" s="27"/>
      <c r="D697" s="27" t="s">
        <v>3788</v>
      </c>
      <c r="E697" s="27"/>
      <c r="F697" s="27"/>
      <c r="G697" s="27">
        <v>1.0</v>
      </c>
      <c r="H697" s="27"/>
      <c r="I697" s="27"/>
      <c r="J697" s="27"/>
      <c r="K697" s="49">
        <f t="shared" si="31"/>
        <v>16000</v>
      </c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2.0" customHeight="1">
      <c r="A698" s="27"/>
      <c r="B698" s="27"/>
      <c r="C698" s="27"/>
      <c r="D698" s="27" t="s">
        <v>3789</v>
      </c>
      <c r="E698" s="27"/>
      <c r="F698" s="27"/>
      <c r="G698" s="27">
        <v>1.0</v>
      </c>
      <c r="H698" s="27"/>
      <c r="I698" s="27"/>
      <c r="J698" s="27"/>
      <c r="K698" s="49">
        <f t="shared" si="31"/>
        <v>16000</v>
      </c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2.0" customHeight="1">
      <c r="A699" s="27"/>
      <c r="B699" s="27"/>
      <c r="C699" s="27"/>
      <c r="D699" s="27" t="s">
        <v>3790</v>
      </c>
      <c r="E699" s="27"/>
      <c r="F699" s="27"/>
      <c r="G699" s="27">
        <v>1.0</v>
      </c>
      <c r="H699" s="27"/>
      <c r="I699" s="27"/>
      <c r="J699" s="27"/>
      <c r="K699" s="49">
        <f t="shared" si="31"/>
        <v>16000</v>
      </c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2.75" customHeight="1">
      <c r="A700" s="27"/>
      <c r="B700" s="27"/>
      <c r="C700" s="27"/>
      <c r="D700" s="27" t="s">
        <v>3791</v>
      </c>
      <c r="E700" s="27"/>
      <c r="F700" s="27"/>
      <c r="G700" s="27">
        <v>1.0</v>
      </c>
      <c r="H700" s="27"/>
      <c r="I700" s="27"/>
      <c r="J700" s="27"/>
      <c r="K700" s="49">
        <f t="shared" si="31"/>
        <v>16000</v>
      </c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2.75" customHeight="1">
      <c r="A701" s="27"/>
      <c r="B701" s="56" t="s">
        <v>3792</v>
      </c>
      <c r="C701" s="27"/>
      <c r="D701" s="27"/>
      <c r="E701" s="27"/>
      <c r="F701" s="27"/>
      <c r="G701" s="27"/>
      <c r="H701" s="27" t="s">
        <v>3793</v>
      </c>
      <c r="I701" s="27"/>
      <c r="J701" s="91">
        <v>12500.0</v>
      </c>
      <c r="K701" s="49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2.0" customHeight="1">
      <c r="A702" s="27"/>
      <c r="B702" s="56"/>
      <c r="C702" s="27"/>
      <c r="D702" s="27" t="s">
        <v>3794</v>
      </c>
      <c r="E702" s="27"/>
      <c r="F702" s="27"/>
      <c r="G702" s="27">
        <v>1.0</v>
      </c>
      <c r="H702" s="27"/>
      <c r="I702" s="27"/>
      <c r="J702" s="27"/>
      <c r="K702" s="49">
        <f t="shared" ref="K702:K720" si="32">$J$701</f>
        <v>12500</v>
      </c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2.0" customHeight="1">
      <c r="A703" s="27"/>
      <c r="B703" s="56"/>
      <c r="C703" s="27"/>
      <c r="D703" s="27" t="s">
        <v>3795</v>
      </c>
      <c r="E703" s="27"/>
      <c r="F703" s="27"/>
      <c r="G703" s="27">
        <v>1.0</v>
      </c>
      <c r="H703" s="27"/>
      <c r="I703" s="27"/>
      <c r="J703" s="27"/>
      <c r="K703" s="49">
        <f t="shared" si="32"/>
        <v>12500</v>
      </c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2.0" customHeight="1">
      <c r="A704" s="27"/>
      <c r="B704" s="56"/>
      <c r="C704" s="27"/>
      <c r="D704" s="27" t="s">
        <v>3796</v>
      </c>
      <c r="E704" s="27"/>
      <c r="F704" s="27"/>
      <c r="G704" s="27">
        <v>1.0</v>
      </c>
      <c r="H704" s="27"/>
      <c r="I704" s="27"/>
      <c r="J704" s="27"/>
      <c r="K704" s="49">
        <f t="shared" si="32"/>
        <v>12500</v>
      </c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2.0" customHeight="1">
      <c r="A705" s="27"/>
      <c r="B705" s="56"/>
      <c r="C705" s="27"/>
      <c r="D705" s="27" t="s">
        <v>3797</v>
      </c>
      <c r="E705" s="27"/>
      <c r="F705" s="27"/>
      <c r="G705" s="27">
        <v>1.0</v>
      </c>
      <c r="H705" s="27"/>
      <c r="I705" s="27"/>
      <c r="J705" s="27"/>
      <c r="K705" s="49">
        <f t="shared" si="32"/>
        <v>12500</v>
      </c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2.0" customHeight="1">
      <c r="A706" s="27"/>
      <c r="B706" s="56"/>
      <c r="C706" s="27"/>
      <c r="D706" s="27" t="s">
        <v>3798</v>
      </c>
      <c r="E706" s="27"/>
      <c r="F706" s="27"/>
      <c r="G706" s="27">
        <v>1.0</v>
      </c>
      <c r="H706" s="27"/>
      <c r="I706" s="27"/>
      <c r="J706" s="27"/>
      <c r="K706" s="49">
        <f t="shared" si="32"/>
        <v>12500</v>
      </c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2.0" customHeight="1">
      <c r="A707" s="27"/>
      <c r="B707" s="56"/>
      <c r="C707" s="27"/>
      <c r="D707" s="27" t="s">
        <v>3799</v>
      </c>
      <c r="E707" s="27"/>
      <c r="F707" s="27"/>
      <c r="G707" s="27">
        <v>1.0</v>
      </c>
      <c r="H707" s="27"/>
      <c r="I707" s="27"/>
      <c r="J707" s="27"/>
      <c r="K707" s="49">
        <f t="shared" si="32"/>
        <v>12500</v>
      </c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2.0" customHeight="1">
      <c r="A708" s="27"/>
      <c r="B708" s="56"/>
      <c r="C708" s="27"/>
      <c r="D708" s="27" t="s">
        <v>3800</v>
      </c>
      <c r="E708" s="27"/>
      <c r="F708" s="27"/>
      <c r="G708" s="27">
        <v>1.0</v>
      </c>
      <c r="H708" s="27"/>
      <c r="I708" s="27"/>
      <c r="J708" s="27"/>
      <c r="K708" s="49">
        <f t="shared" si="32"/>
        <v>12500</v>
      </c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0" customHeight="1">
      <c r="A709" s="27"/>
      <c r="B709" s="56"/>
      <c r="C709" s="27"/>
      <c r="D709" s="27" t="s">
        <v>3801</v>
      </c>
      <c r="E709" s="27"/>
      <c r="F709" s="27"/>
      <c r="G709" s="27">
        <v>1.0</v>
      </c>
      <c r="H709" s="27"/>
      <c r="I709" s="27"/>
      <c r="J709" s="27"/>
      <c r="K709" s="49">
        <f t="shared" si="32"/>
        <v>12500</v>
      </c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0" customHeight="1">
      <c r="A710" s="27"/>
      <c r="B710" s="56"/>
      <c r="C710" s="27"/>
      <c r="D710" s="27" t="s">
        <v>3802</v>
      </c>
      <c r="E710" s="27"/>
      <c r="F710" s="27"/>
      <c r="G710" s="27">
        <v>1.0</v>
      </c>
      <c r="H710" s="27"/>
      <c r="I710" s="27"/>
      <c r="J710" s="27"/>
      <c r="K710" s="49">
        <f t="shared" si="32"/>
        <v>12500</v>
      </c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0" customHeight="1">
      <c r="A711" s="27"/>
      <c r="B711" s="56"/>
      <c r="C711" s="27"/>
      <c r="D711" s="27" t="s">
        <v>3803</v>
      </c>
      <c r="E711" s="27"/>
      <c r="F711" s="27"/>
      <c r="G711" s="27">
        <v>1.0</v>
      </c>
      <c r="H711" s="27"/>
      <c r="I711" s="27"/>
      <c r="J711" s="27"/>
      <c r="K711" s="49">
        <f t="shared" si="32"/>
        <v>12500</v>
      </c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2.0" customHeight="1">
      <c r="A712" s="27"/>
      <c r="B712" s="56"/>
      <c r="C712" s="27"/>
      <c r="D712" s="27" t="s">
        <v>3804</v>
      </c>
      <c r="E712" s="27"/>
      <c r="F712" s="27"/>
      <c r="G712" s="27">
        <v>1.0</v>
      </c>
      <c r="H712" s="27"/>
      <c r="I712" s="27"/>
      <c r="J712" s="27"/>
      <c r="K712" s="49">
        <f t="shared" si="32"/>
        <v>12500</v>
      </c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2.0" customHeight="1">
      <c r="A713" s="27"/>
      <c r="B713" s="56"/>
      <c r="C713" s="27"/>
      <c r="D713" s="27" t="s">
        <v>3805</v>
      </c>
      <c r="E713" s="27"/>
      <c r="F713" s="27"/>
      <c r="G713" s="27">
        <v>1.0</v>
      </c>
      <c r="H713" s="27"/>
      <c r="I713" s="27"/>
      <c r="J713" s="27"/>
      <c r="K713" s="49">
        <f t="shared" si="32"/>
        <v>12500</v>
      </c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2.0" customHeight="1">
      <c r="A714" s="27"/>
      <c r="B714" s="56"/>
      <c r="C714" s="27"/>
      <c r="D714" s="27" t="s">
        <v>3806</v>
      </c>
      <c r="E714" s="27"/>
      <c r="F714" s="27"/>
      <c r="G714" s="27">
        <v>1.0</v>
      </c>
      <c r="H714" s="27"/>
      <c r="I714" s="27"/>
      <c r="J714" s="27"/>
      <c r="K714" s="49">
        <f t="shared" si="32"/>
        <v>12500</v>
      </c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2.0" customHeight="1">
      <c r="A715" s="27"/>
      <c r="B715" s="56"/>
      <c r="C715" s="27"/>
      <c r="D715" s="27" t="s">
        <v>3807</v>
      </c>
      <c r="E715" s="27"/>
      <c r="F715" s="27"/>
      <c r="G715" s="27">
        <v>1.0</v>
      </c>
      <c r="H715" s="27"/>
      <c r="I715" s="27"/>
      <c r="J715" s="27"/>
      <c r="K715" s="49">
        <f t="shared" si="32"/>
        <v>12500</v>
      </c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2.0" customHeight="1">
      <c r="A716" s="27"/>
      <c r="B716" s="27"/>
      <c r="C716" s="27"/>
      <c r="D716" s="27" t="s">
        <v>3808</v>
      </c>
      <c r="E716" s="27"/>
      <c r="F716" s="27"/>
      <c r="G716" s="27">
        <v>1.0</v>
      </c>
      <c r="H716" s="27"/>
      <c r="I716" s="27"/>
      <c r="J716" s="27"/>
      <c r="K716" s="49">
        <f t="shared" si="32"/>
        <v>12500</v>
      </c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2.0" customHeight="1">
      <c r="A717" s="27"/>
      <c r="B717" s="27"/>
      <c r="C717" s="27"/>
      <c r="D717" s="27" t="s">
        <v>3809</v>
      </c>
      <c r="E717" s="27"/>
      <c r="F717" s="27"/>
      <c r="G717" s="27">
        <v>1.0</v>
      </c>
      <c r="H717" s="27"/>
      <c r="I717" s="27"/>
      <c r="J717" s="27"/>
      <c r="K717" s="49">
        <f t="shared" si="32"/>
        <v>12500</v>
      </c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2.0" customHeight="1">
      <c r="A718" s="27"/>
      <c r="B718" s="27"/>
      <c r="C718" s="27"/>
      <c r="D718" s="27" t="s">
        <v>3810</v>
      </c>
      <c r="E718" s="27"/>
      <c r="F718" s="27"/>
      <c r="G718" s="27">
        <v>1.0</v>
      </c>
      <c r="H718" s="27"/>
      <c r="I718" s="27"/>
      <c r="J718" s="27"/>
      <c r="K718" s="49">
        <f t="shared" si="32"/>
        <v>12500</v>
      </c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0" customHeight="1">
      <c r="A719" s="27"/>
      <c r="B719" s="27"/>
      <c r="C719" s="27"/>
      <c r="D719" s="27" t="s">
        <v>3811</v>
      </c>
      <c r="E719" s="27"/>
      <c r="F719" s="27"/>
      <c r="G719" s="27">
        <v>1.0</v>
      </c>
      <c r="H719" s="27"/>
      <c r="I719" s="27"/>
      <c r="J719" s="27"/>
      <c r="K719" s="49">
        <f t="shared" si="32"/>
        <v>12500</v>
      </c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75" customHeight="1">
      <c r="A720" s="27"/>
      <c r="B720" s="27"/>
      <c r="C720" s="27"/>
      <c r="D720" s="27" t="s">
        <v>3812</v>
      </c>
      <c r="E720" s="27"/>
      <c r="F720" s="27"/>
      <c r="G720" s="27">
        <v>1.0</v>
      </c>
      <c r="H720" s="27"/>
      <c r="I720" s="27"/>
      <c r="J720" s="27"/>
      <c r="K720" s="49">
        <f t="shared" si="32"/>
        <v>12500</v>
      </c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75" customHeight="1">
      <c r="A721" s="27"/>
      <c r="B721" s="56" t="s">
        <v>3813</v>
      </c>
      <c r="C721" s="27"/>
      <c r="D721" s="27"/>
      <c r="E721" s="27"/>
      <c r="F721" s="27"/>
      <c r="G721" s="27"/>
      <c r="H721" s="27" t="s">
        <v>3814</v>
      </c>
      <c r="I721" s="27"/>
      <c r="J721" s="58">
        <v>12000.0</v>
      </c>
      <c r="K721" s="49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2.0" customHeight="1">
      <c r="A722" s="27"/>
      <c r="B722" s="27"/>
      <c r="C722" s="27"/>
      <c r="D722" s="27" t="s">
        <v>3815</v>
      </c>
      <c r="E722" s="27"/>
      <c r="F722" s="27"/>
      <c r="G722" s="27">
        <v>1.0</v>
      </c>
      <c r="H722" s="27"/>
      <c r="I722" s="27"/>
      <c r="J722" s="27"/>
      <c r="K722" s="49">
        <f t="shared" ref="K722:K732" si="33">$J$721</f>
        <v>12000</v>
      </c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2.0" customHeight="1">
      <c r="A723" s="27"/>
      <c r="B723" s="27"/>
      <c r="C723" s="27"/>
      <c r="D723" s="27" t="s">
        <v>3816</v>
      </c>
      <c r="E723" s="27"/>
      <c r="F723" s="27"/>
      <c r="G723" s="27">
        <v>1.0</v>
      </c>
      <c r="H723" s="27"/>
      <c r="I723" s="27"/>
      <c r="J723" s="27"/>
      <c r="K723" s="49">
        <f t="shared" si="33"/>
        <v>12000</v>
      </c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2.0" customHeight="1">
      <c r="A724" s="27"/>
      <c r="B724" s="27"/>
      <c r="C724" s="27"/>
      <c r="D724" s="27" t="s">
        <v>3817</v>
      </c>
      <c r="E724" s="27"/>
      <c r="F724" s="27"/>
      <c r="G724" s="27">
        <v>1.0</v>
      </c>
      <c r="H724" s="27"/>
      <c r="I724" s="27"/>
      <c r="J724" s="27"/>
      <c r="K724" s="49">
        <f t="shared" si="33"/>
        <v>12000</v>
      </c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2.0" customHeight="1">
      <c r="A725" s="27"/>
      <c r="B725" s="27"/>
      <c r="C725" s="27"/>
      <c r="D725" s="27" t="s">
        <v>3818</v>
      </c>
      <c r="E725" s="27"/>
      <c r="F725" s="27"/>
      <c r="G725" s="27">
        <v>1.0</v>
      </c>
      <c r="H725" s="27"/>
      <c r="I725" s="27"/>
      <c r="J725" s="27"/>
      <c r="K725" s="49">
        <f t="shared" si="33"/>
        <v>12000</v>
      </c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2.0" customHeight="1">
      <c r="A726" s="27"/>
      <c r="B726" s="27"/>
      <c r="C726" s="27"/>
      <c r="D726" s="27" t="s">
        <v>3819</v>
      </c>
      <c r="E726" s="27"/>
      <c r="F726" s="27"/>
      <c r="G726" s="27">
        <v>1.0</v>
      </c>
      <c r="H726" s="27"/>
      <c r="I726" s="27"/>
      <c r="J726" s="27"/>
      <c r="K726" s="49">
        <f t="shared" si="33"/>
        <v>12000</v>
      </c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0" customHeight="1">
      <c r="A727" s="27"/>
      <c r="B727" s="27"/>
      <c r="C727" s="27"/>
      <c r="D727" s="27" t="s">
        <v>3820</v>
      </c>
      <c r="E727" s="27"/>
      <c r="F727" s="27"/>
      <c r="G727" s="27">
        <v>1.0</v>
      </c>
      <c r="H727" s="27"/>
      <c r="I727" s="27"/>
      <c r="J727" s="27"/>
      <c r="K727" s="49">
        <f t="shared" si="33"/>
        <v>12000</v>
      </c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0" customHeight="1">
      <c r="A728" s="27"/>
      <c r="B728" s="27"/>
      <c r="C728" s="27"/>
      <c r="D728" s="27" t="s">
        <v>3821</v>
      </c>
      <c r="E728" s="27"/>
      <c r="F728" s="27"/>
      <c r="G728" s="27">
        <v>1.0</v>
      </c>
      <c r="H728" s="27"/>
      <c r="I728" s="27"/>
      <c r="J728" s="27"/>
      <c r="K728" s="49">
        <f t="shared" si="33"/>
        <v>12000</v>
      </c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0" customHeight="1">
      <c r="A729" s="27"/>
      <c r="B729" s="27"/>
      <c r="C729" s="27"/>
      <c r="D729" s="27" t="s">
        <v>3822</v>
      </c>
      <c r="E729" s="27"/>
      <c r="F729" s="27"/>
      <c r="G729" s="27">
        <v>1.0</v>
      </c>
      <c r="H729" s="27"/>
      <c r="I729" s="27"/>
      <c r="J729" s="27"/>
      <c r="K729" s="49">
        <f t="shared" si="33"/>
        <v>12000</v>
      </c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2.0" customHeight="1">
      <c r="A730" s="27"/>
      <c r="B730" s="27"/>
      <c r="C730" s="27"/>
      <c r="D730" s="27" t="s">
        <v>3823</v>
      </c>
      <c r="E730" s="27"/>
      <c r="F730" s="27"/>
      <c r="G730" s="27">
        <v>1.0</v>
      </c>
      <c r="H730" s="27"/>
      <c r="I730" s="27"/>
      <c r="J730" s="27"/>
      <c r="K730" s="49">
        <f t="shared" si="33"/>
        <v>12000</v>
      </c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2.0" customHeight="1">
      <c r="A731" s="27"/>
      <c r="B731" s="27"/>
      <c r="C731" s="27"/>
      <c r="D731" s="27" t="s">
        <v>3824</v>
      </c>
      <c r="E731" s="27"/>
      <c r="F731" s="27"/>
      <c r="G731" s="27">
        <v>1.0</v>
      </c>
      <c r="H731" s="27"/>
      <c r="I731" s="27"/>
      <c r="J731" s="27"/>
      <c r="K731" s="49">
        <f t="shared" si="33"/>
        <v>12000</v>
      </c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0" customHeight="1">
      <c r="A732" s="27"/>
      <c r="B732" s="27"/>
      <c r="C732" s="27"/>
      <c r="D732" s="27" t="s">
        <v>3825</v>
      </c>
      <c r="E732" s="27"/>
      <c r="F732" s="27"/>
      <c r="G732" s="27">
        <v>1.0</v>
      </c>
      <c r="H732" s="27"/>
      <c r="I732" s="27"/>
      <c r="J732" s="27"/>
      <c r="K732" s="49">
        <f t="shared" si="33"/>
        <v>12000</v>
      </c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49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75" customHeight="1">
      <c r="A734" s="27"/>
      <c r="B734" s="56" t="s">
        <v>3826</v>
      </c>
      <c r="C734" s="27"/>
      <c r="D734" s="27"/>
      <c r="E734" s="27"/>
      <c r="F734" s="27"/>
      <c r="G734" s="27"/>
      <c r="H734" s="27" t="s">
        <v>3827</v>
      </c>
      <c r="I734" s="27"/>
      <c r="J734" s="58">
        <v>17000.0</v>
      </c>
      <c r="K734" s="49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2.0" customHeight="1">
      <c r="A735" s="27"/>
      <c r="B735" s="27"/>
      <c r="C735" s="27"/>
      <c r="D735" s="27" t="s">
        <v>3828</v>
      </c>
      <c r="E735" s="27"/>
      <c r="F735" s="27"/>
      <c r="G735" s="27">
        <v>1.0</v>
      </c>
      <c r="H735" s="27"/>
      <c r="I735" s="27"/>
      <c r="J735" s="27"/>
      <c r="K735" s="49">
        <f t="shared" ref="K735:K745" si="34">$J$734</f>
        <v>17000</v>
      </c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2.0" customHeight="1">
      <c r="A736" s="27"/>
      <c r="B736" s="27"/>
      <c r="C736" s="27"/>
      <c r="D736" s="27" t="s">
        <v>3829</v>
      </c>
      <c r="E736" s="27"/>
      <c r="F736" s="27"/>
      <c r="G736" s="27">
        <v>1.0</v>
      </c>
      <c r="H736" s="27"/>
      <c r="I736" s="27"/>
      <c r="J736" s="27"/>
      <c r="K736" s="49">
        <f t="shared" si="34"/>
        <v>17000</v>
      </c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2.0" customHeight="1">
      <c r="A737" s="27"/>
      <c r="B737" s="27"/>
      <c r="C737" s="27"/>
      <c r="D737" s="27" t="s">
        <v>3830</v>
      </c>
      <c r="E737" s="27"/>
      <c r="F737" s="27"/>
      <c r="G737" s="27">
        <v>1.0</v>
      </c>
      <c r="H737" s="27"/>
      <c r="I737" s="27"/>
      <c r="J737" s="27"/>
      <c r="K737" s="49">
        <f t="shared" si="34"/>
        <v>17000</v>
      </c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2.0" customHeight="1">
      <c r="A738" s="27"/>
      <c r="B738" s="27"/>
      <c r="C738" s="27"/>
      <c r="D738" s="27" t="s">
        <v>3831</v>
      </c>
      <c r="E738" s="27"/>
      <c r="F738" s="27"/>
      <c r="G738" s="27">
        <v>1.0</v>
      </c>
      <c r="H738" s="27"/>
      <c r="I738" s="27"/>
      <c r="J738" s="27"/>
      <c r="K738" s="49">
        <f t="shared" si="34"/>
        <v>17000</v>
      </c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2.0" customHeight="1">
      <c r="A739" s="27"/>
      <c r="B739" s="27"/>
      <c r="C739" s="27"/>
      <c r="D739" s="27" t="s">
        <v>3832</v>
      </c>
      <c r="E739" s="27"/>
      <c r="F739" s="27"/>
      <c r="G739" s="27">
        <v>1.0</v>
      </c>
      <c r="H739" s="27"/>
      <c r="I739" s="27"/>
      <c r="J739" s="27"/>
      <c r="K739" s="49">
        <f t="shared" si="34"/>
        <v>17000</v>
      </c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2.0" customHeight="1">
      <c r="A740" s="22"/>
      <c r="B740" s="22"/>
      <c r="C740" s="22"/>
      <c r="D740" s="22" t="s">
        <v>3833</v>
      </c>
      <c r="G740" s="27">
        <v>1.0</v>
      </c>
      <c r="K740" s="49">
        <f t="shared" si="34"/>
        <v>17000</v>
      </c>
    </row>
    <row r="741" ht="12.0" customHeight="1">
      <c r="A741" s="27"/>
      <c r="B741" s="22"/>
      <c r="C741" s="22"/>
      <c r="D741" s="22" t="s">
        <v>3834</v>
      </c>
      <c r="G741" s="27">
        <v>1.0</v>
      </c>
      <c r="K741" s="49">
        <f t="shared" si="34"/>
        <v>17000</v>
      </c>
    </row>
    <row r="742" ht="12.0" customHeight="1">
      <c r="A742" s="22"/>
      <c r="B742" s="22"/>
      <c r="C742" s="22"/>
      <c r="D742" s="22" t="s">
        <v>3835</v>
      </c>
      <c r="G742" s="27">
        <v>1.0</v>
      </c>
      <c r="K742" s="49">
        <f t="shared" si="34"/>
        <v>17000</v>
      </c>
    </row>
    <row r="743" ht="12.0" customHeight="1">
      <c r="A743" s="22"/>
      <c r="B743" s="22"/>
      <c r="C743" s="22"/>
      <c r="D743" s="22" t="s">
        <v>3836</v>
      </c>
      <c r="G743" s="27">
        <v>1.0</v>
      </c>
      <c r="K743" s="49">
        <f t="shared" si="34"/>
        <v>17000</v>
      </c>
    </row>
    <row r="744" ht="12.0" customHeight="1">
      <c r="A744" s="22"/>
      <c r="B744" s="22"/>
      <c r="C744" s="22"/>
      <c r="D744" s="22" t="s">
        <v>3837</v>
      </c>
      <c r="G744" s="27">
        <v>1.0</v>
      </c>
      <c r="K744" s="49">
        <f t="shared" si="34"/>
        <v>17000</v>
      </c>
    </row>
    <row r="745" ht="12.75" customHeight="1">
      <c r="A745" s="22"/>
      <c r="B745" s="22"/>
      <c r="C745" s="22"/>
      <c r="D745" s="22" t="s">
        <v>3838</v>
      </c>
      <c r="G745" s="27">
        <v>1.0</v>
      </c>
      <c r="K745" s="49">
        <f t="shared" si="34"/>
        <v>17000</v>
      </c>
    </row>
    <row r="746" ht="12.75" customHeight="1">
      <c r="A746" s="22"/>
      <c r="B746" s="56" t="s">
        <v>3839</v>
      </c>
      <c r="C746" s="22"/>
      <c r="D746" s="22"/>
      <c r="H746" s="22" t="s">
        <v>3840</v>
      </c>
      <c r="J746" s="58">
        <v>15000.0</v>
      </c>
      <c r="K746" s="49"/>
    </row>
    <row r="747" ht="12.0" customHeight="1">
      <c r="A747" s="22"/>
      <c r="B747" s="22"/>
      <c r="C747" s="22"/>
      <c r="D747" s="22" t="s">
        <v>3841</v>
      </c>
      <c r="G747" s="22">
        <v>1.0</v>
      </c>
      <c r="K747" s="49">
        <f t="shared" ref="K747:K752" si="35">$J$746</f>
        <v>15000</v>
      </c>
    </row>
    <row r="748" ht="12.0" customHeight="1">
      <c r="A748" s="22"/>
      <c r="B748" s="22"/>
      <c r="C748" s="22"/>
      <c r="D748" s="22" t="s">
        <v>3842</v>
      </c>
      <c r="G748" s="22">
        <v>1.0</v>
      </c>
      <c r="K748" s="49">
        <f t="shared" si="35"/>
        <v>15000</v>
      </c>
    </row>
    <row r="749" ht="12.0" customHeight="1">
      <c r="A749" s="22"/>
      <c r="B749" s="22"/>
      <c r="C749" s="22"/>
      <c r="D749" s="22" t="s">
        <v>3843</v>
      </c>
      <c r="G749" s="22">
        <v>1.0</v>
      </c>
      <c r="K749" s="49">
        <f t="shared" si="35"/>
        <v>15000</v>
      </c>
    </row>
    <row r="750" ht="12.0" customHeight="1">
      <c r="A750" s="22"/>
      <c r="B750" s="22"/>
      <c r="C750" s="22"/>
      <c r="D750" s="22" t="s">
        <v>3844</v>
      </c>
      <c r="G750" s="22">
        <v>1.0</v>
      </c>
      <c r="K750" s="49">
        <f t="shared" si="35"/>
        <v>15000</v>
      </c>
    </row>
    <row r="751" ht="12.0" customHeight="1">
      <c r="A751" s="22"/>
      <c r="B751" s="22"/>
      <c r="C751" s="22"/>
      <c r="D751" s="22" t="s">
        <v>3845</v>
      </c>
      <c r="G751" s="22">
        <v>1.0</v>
      </c>
      <c r="K751" s="49">
        <f t="shared" si="35"/>
        <v>15000</v>
      </c>
    </row>
    <row r="752" ht="12.75" customHeight="1">
      <c r="A752" s="22"/>
      <c r="B752" s="22"/>
      <c r="C752" s="22"/>
      <c r="D752" s="22" t="s">
        <v>3846</v>
      </c>
      <c r="G752" s="22">
        <v>1.0</v>
      </c>
      <c r="K752" s="49">
        <f t="shared" si="35"/>
        <v>15000</v>
      </c>
    </row>
    <row r="753" ht="12.75" customHeight="1">
      <c r="A753" s="27"/>
      <c r="B753" s="56" t="s">
        <v>3847</v>
      </c>
      <c r="C753" s="22"/>
      <c r="D753" s="22"/>
      <c r="H753" s="22" t="s">
        <v>3848</v>
      </c>
      <c r="J753" s="58">
        <v>17000.0</v>
      </c>
      <c r="K753" s="49"/>
    </row>
    <row r="754" ht="12.0" customHeight="1">
      <c r="A754" s="22"/>
      <c r="B754" s="22"/>
      <c r="C754" s="22"/>
      <c r="D754" s="22" t="s">
        <v>3849</v>
      </c>
      <c r="G754" s="22">
        <v>1.0</v>
      </c>
      <c r="K754" s="49">
        <f t="shared" ref="K754:K756" si="36">$J$753</f>
        <v>17000</v>
      </c>
    </row>
    <row r="755" ht="12.0" customHeight="1">
      <c r="A755" s="22"/>
      <c r="B755" s="22"/>
      <c r="C755" s="22"/>
      <c r="D755" s="22" t="s">
        <v>3850</v>
      </c>
      <c r="G755" s="22">
        <v>1.0</v>
      </c>
      <c r="K755" s="49">
        <f t="shared" si="36"/>
        <v>17000</v>
      </c>
    </row>
    <row r="756" ht="12.75" customHeight="1">
      <c r="A756" s="22"/>
      <c r="B756" s="22"/>
      <c r="C756" s="22"/>
      <c r="D756" s="22" t="s">
        <v>3851</v>
      </c>
      <c r="G756" s="22">
        <v>1.0</v>
      </c>
      <c r="K756" s="49">
        <f t="shared" si="36"/>
        <v>17000</v>
      </c>
    </row>
    <row r="757" ht="12.75" customHeight="1">
      <c r="A757" s="22"/>
      <c r="B757" s="56" t="s">
        <v>3852</v>
      </c>
      <c r="C757" s="22"/>
      <c r="D757" s="22"/>
      <c r="H757" s="22" t="s">
        <v>3853</v>
      </c>
      <c r="J757" s="58">
        <v>25000.0</v>
      </c>
      <c r="K757" s="49"/>
    </row>
    <row r="758" ht="12.0" customHeight="1">
      <c r="A758" s="22"/>
      <c r="B758" s="22"/>
      <c r="C758" s="22"/>
      <c r="D758" s="22" t="s">
        <v>3854</v>
      </c>
      <c r="G758" s="22">
        <v>1.0</v>
      </c>
      <c r="K758" s="49">
        <f t="shared" ref="K758:K760" si="37">$J$757</f>
        <v>25000</v>
      </c>
    </row>
    <row r="759" ht="12.0" customHeight="1">
      <c r="A759" s="22"/>
      <c r="B759" s="22"/>
      <c r="C759" s="22"/>
      <c r="D759" s="22" t="s">
        <v>3855</v>
      </c>
      <c r="G759" s="22">
        <v>1.0</v>
      </c>
      <c r="K759" s="49">
        <f t="shared" si="37"/>
        <v>25000</v>
      </c>
    </row>
    <row r="760" ht="12.75" customHeight="1">
      <c r="A760" s="22"/>
      <c r="B760" s="22"/>
      <c r="C760" s="22"/>
      <c r="D760" s="22" t="s">
        <v>3856</v>
      </c>
      <c r="G760" s="22">
        <v>1.0</v>
      </c>
      <c r="K760" s="49">
        <f t="shared" si="37"/>
        <v>25000</v>
      </c>
    </row>
    <row r="761" ht="12.75" customHeight="1">
      <c r="A761" s="22"/>
      <c r="B761" s="56" t="s">
        <v>3857</v>
      </c>
      <c r="C761" s="22"/>
      <c r="D761" s="22"/>
      <c r="H761" s="22" t="s">
        <v>3858</v>
      </c>
      <c r="J761" s="58">
        <v>28000.0</v>
      </c>
      <c r="K761" s="49"/>
    </row>
    <row r="762" ht="12.0" customHeight="1">
      <c r="A762" s="22"/>
      <c r="B762" s="22"/>
      <c r="C762" s="22"/>
      <c r="D762" s="22" t="s">
        <v>3859</v>
      </c>
      <c r="G762" s="22">
        <v>1.0</v>
      </c>
      <c r="K762" s="49">
        <f t="shared" ref="K762:K764" si="38">$J$761</f>
        <v>28000</v>
      </c>
    </row>
    <row r="763" ht="12.0" customHeight="1">
      <c r="A763" s="22"/>
      <c r="B763" s="22"/>
      <c r="C763" s="22"/>
      <c r="D763" s="22" t="s">
        <v>3860</v>
      </c>
      <c r="G763" s="22">
        <v>1.0</v>
      </c>
      <c r="K763" s="49">
        <f t="shared" si="38"/>
        <v>28000</v>
      </c>
    </row>
    <row r="764" ht="12.0" customHeight="1">
      <c r="A764" s="22"/>
      <c r="B764" s="22"/>
      <c r="C764" s="22"/>
      <c r="D764" s="22" t="s">
        <v>3861</v>
      </c>
      <c r="G764" s="22">
        <v>1.0</v>
      </c>
      <c r="K764" s="49">
        <f t="shared" si="38"/>
        <v>28000</v>
      </c>
    </row>
    <row r="765" ht="12.0" customHeight="1">
      <c r="A765" s="27"/>
      <c r="B765" s="22"/>
      <c r="C765" s="22"/>
      <c r="D765" s="22"/>
      <c r="K765" s="49"/>
    </row>
    <row r="766" ht="12.75" customHeight="1">
      <c r="A766" s="56" t="s">
        <v>3862</v>
      </c>
      <c r="B766" s="22"/>
      <c r="C766" s="22"/>
      <c r="D766" s="22"/>
      <c r="K766" s="49"/>
    </row>
    <row r="767" ht="12.75" customHeight="1">
      <c r="A767" s="22"/>
      <c r="B767" s="56" t="s">
        <v>3863</v>
      </c>
      <c r="C767" s="22"/>
      <c r="D767" s="22"/>
      <c r="H767" s="22" t="s">
        <v>3864</v>
      </c>
      <c r="J767" s="58">
        <v>25000.0</v>
      </c>
      <c r="K767" s="49"/>
    </row>
    <row r="768" ht="12.0" customHeight="1">
      <c r="A768" s="22"/>
      <c r="B768" s="22"/>
      <c r="C768" s="22"/>
      <c r="D768" s="22" t="s">
        <v>3865</v>
      </c>
      <c r="G768" s="22">
        <v>3.0</v>
      </c>
      <c r="K768" s="49">
        <f t="shared" ref="K768:K779" si="39">$J$767</f>
        <v>25000</v>
      </c>
    </row>
    <row r="769" ht="12.0" customHeight="1">
      <c r="A769" s="22"/>
      <c r="B769" s="22"/>
      <c r="C769" s="22"/>
      <c r="D769" s="22" t="s">
        <v>3866</v>
      </c>
      <c r="G769" s="22">
        <v>3.0</v>
      </c>
      <c r="K769" s="49">
        <f t="shared" si="39"/>
        <v>25000</v>
      </c>
    </row>
    <row r="770" ht="12.0" customHeight="1">
      <c r="A770" s="22"/>
      <c r="B770" s="22"/>
      <c r="C770" s="22"/>
      <c r="D770" s="22" t="s">
        <v>3867</v>
      </c>
      <c r="G770" s="22">
        <v>3.0</v>
      </c>
      <c r="K770" s="49">
        <f t="shared" si="39"/>
        <v>25000</v>
      </c>
    </row>
    <row r="771" ht="12.0" customHeight="1">
      <c r="A771" s="22"/>
      <c r="B771" s="22"/>
      <c r="C771" s="22"/>
      <c r="D771" s="22" t="s">
        <v>3868</v>
      </c>
      <c r="G771" s="22">
        <v>3.0</v>
      </c>
      <c r="K771" s="49">
        <f t="shared" si="39"/>
        <v>25000</v>
      </c>
    </row>
    <row r="772" ht="12.0" customHeight="1">
      <c r="A772" s="22"/>
      <c r="B772" s="22"/>
      <c r="C772" s="22"/>
      <c r="D772" s="22" t="s">
        <v>3869</v>
      </c>
      <c r="G772" s="22">
        <v>3.0</v>
      </c>
      <c r="K772" s="49">
        <f t="shared" si="39"/>
        <v>25000</v>
      </c>
    </row>
    <row r="773" ht="12.0" customHeight="1">
      <c r="A773" s="22"/>
      <c r="B773" s="22"/>
      <c r="C773" s="22"/>
      <c r="D773" s="22" t="s">
        <v>3870</v>
      </c>
      <c r="G773" s="22">
        <v>3.0</v>
      </c>
      <c r="K773" s="49">
        <f t="shared" si="39"/>
        <v>25000</v>
      </c>
    </row>
    <row r="774" ht="12.0" customHeight="1">
      <c r="A774" s="22"/>
      <c r="B774" s="22"/>
      <c r="C774" s="22"/>
      <c r="D774" s="22" t="s">
        <v>3871</v>
      </c>
      <c r="G774" s="22">
        <v>3.0</v>
      </c>
      <c r="K774" s="49">
        <f t="shared" si="39"/>
        <v>25000</v>
      </c>
    </row>
    <row r="775" ht="12.0" customHeight="1">
      <c r="A775" s="22"/>
      <c r="B775" s="22"/>
      <c r="C775" s="22"/>
      <c r="D775" s="22" t="s">
        <v>3872</v>
      </c>
      <c r="G775" s="22">
        <v>3.0</v>
      </c>
      <c r="K775" s="49">
        <f t="shared" si="39"/>
        <v>25000</v>
      </c>
    </row>
    <row r="776" ht="12.0" customHeight="1">
      <c r="A776" s="22"/>
      <c r="B776" s="22"/>
      <c r="C776" s="22"/>
      <c r="D776" s="22" t="s">
        <v>3873</v>
      </c>
      <c r="G776" s="22">
        <v>3.0</v>
      </c>
      <c r="K776" s="49">
        <f t="shared" si="39"/>
        <v>25000</v>
      </c>
    </row>
    <row r="777" ht="12.0" customHeight="1">
      <c r="A777" s="22"/>
      <c r="B777" s="22"/>
      <c r="C777" s="22"/>
      <c r="D777" s="22" t="s">
        <v>3874</v>
      </c>
      <c r="G777" s="22">
        <v>3.0</v>
      </c>
      <c r="K777" s="49">
        <f t="shared" si="39"/>
        <v>25000</v>
      </c>
    </row>
    <row r="778" ht="12.0" customHeight="1">
      <c r="A778" s="22"/>
      <c r="B778" s="22"/>
      <c r="C778" s="22"/>
      <c r="D778" s="22" t="s">
        <v>3875</v>
      </c>
      <c r="G778" s="22">
        <v>3.0</v>
      </c>
      <c r="K778" s="49">
        <f t="shared" si="39"/>
        <v>25000</v>
      </c>
    </row>
    <row r="779" ht="12.0" customHeight="1">
      <c r="A779" s="22"/>
      <c r="B779" s="22"/>
      <c r="C779" s="22"/>
      <c r="D779" s="22" t="s">
        <v>3876</v>
      </c>
      <c r="G779" s="22">
        <v>3.0</v>
      </c>
      <c r="K779" s="49">
        <f t="shared" si="39"/>
        <v>25000</v>
      </c>
    </row>
    <row r="780" ht="12.0" customHeight="1">
      <c r="A780" s="27"/>
      <c r="B780" s="56" t="s">
        <v>3877</v>
      </c>
      <c r="C780" s="22"/>
      <c r="D780" s="22"/>
      <c r="K780" s="49"/>
    </row>
    <row r="781" ht="12.0" customHeight="1">
      <c r="A781" s="27"/>
      <c r="B781" s="56"/>
      <c r="C781" s="27"/>
      <c r="D781" s="27" t="s">
        <v>3878</v>
      </c>
      <c r="E781" s="27"/>
      <c r="F781" s="27"/>
      <c r="G781" s="27">
        <v>2.0</v>
      </c>
      <c r="H781" s="27"/>
      <c r="I781" s="27"/>
      <c r="J781" s="27"/>
      <c r="K781" s="49">
        <f>$J$757</f>
        <v>25000</v>
      </c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0" customHeight="1">
      <c r="A782" s="27"/>
      <c r="B782" s="56"/>
      <c r="C782" s="27"/>
      <c r="D782" s="27" t="s">
        <v>3879</v>
      </c>
      <c r="E782" s="22"/>
      <c r="F782" s="22"/>
      <c r="G782" s="22">
        <v>2.0</v>
      </c>
      <c r="H782" s="22"/>
      <c r="I782" s="22"/>
      <c r="J782" s="22"/>
      <c r="K782" s="49">
        <f>$J$761</f>
        <v>28000</v>
      </c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2.0" customHeight="1">
      <c r="A783" s="22"/>
      <c r="B783" s="22"/>
      <c r="C783" s="22"/>
      <c r="D783" s="22" t="s">
        <v>3880</v>
      </c>
      <c r="G783" s="22">
        <v>2.0</v>
      </c>
      <c r="K783" s="49">
        <v>43000.0</v>
      </c>
    </row>
    <row r="784" ht="12.0" customHeight="1">
      <c r="A784" s="27"/>
      <c r="B784" s="27"/>
      <c r="C784" s="27"/>
      <c r="D784" s="27" t="s">
        <v>3881</v>
      </c>
      <c r="E784" s="27"/>
      <c r="F784" s="27"/>
      <c r="G784" s="27">
        <v>2.0</v>
      </c>
      <c r="H784" s="27"/>
      <c r="I784" s="27"/>
      <c r="J784" s="27"/>
      <c r="K784" s="49">
        <v>48000.0</v>
      </c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2.0" customHeight="1">
      <c r="A785" s="22"/>
      <c r="B785" s="22"/>
      <c r="C785" s="22"/>
      <c r="D785" s="22" t="s">
        <v>3882</v>
      </c>
      <c r="G785" s="22">
        <v>2.0</v>
      </c>
      <c r="K785" s="49">
        <v>48300.0</v>
      </c>
    </row>
    <row r="786" ht="12.0" customHeight="1">
      <c r="A786" s="22"/>
      <c r="B786" s="56" t="s">
        <v>3883</v>
      </c>
      <c r="C786" s="22"/>
      <c r="D786" s="22"/>
      <c r="K786" s="49"/>
    </row>
    <row r="787" ht="12.0" customHeight="1">
      <c r="A787" s="22"/>
      <c r="B787" s="22"/>
      <c r="C787" s="22"/>
      <c r="D787" s="22" t="s">
        <v>3884</v>
      </c>
      <c r="G787" s="22">
        <v>3.0</v>
      </c>
      <c r="K787" s="49">
        <v>23000.0</v>
      </c>
      <c r="L787" s="22"/>
    </row>
    <row r="788" ht="12.0" customHeight="1">
      <c r="A788" s="22"/>
      <c r="B788" s="22"/>
      <c r="C788" s="22"/>
      <c r="D788" s="22" t="s">
        <v>3885</v>
      </c>
      <c r="G788" s="22">
        <v>3.0</v>
      </c>
      <c r="K788" s="49">
        <v>26500.0</v>
      </c>
    </row>
    <row r="789" ht="12.0" customHeight="1">
      <c r="A789" s="22"/>
      <c r="B789" s="22"/>
      <c r="C789" s="22"/>
      <c r="D789" s="22" t="s">
        <v>3886</v>
      </c>
      <c r="G789" s="22">
        <v>3.0</v>
      </c>
      <c r="K789" s="49">
        <v>44000.0</v>
      </c>
    </row>
    <row r="790" ht="12.75" customHeight="1">
      <c r="A790" s="22"/>
      <c r="B790" s="22"/>
      <c r="C790" s="22"/>
      <c r="D790" s="22"/>
      <c r="K790" s="49"/>
    </row>
    <row r="791" ht="12.75" customHeight="1">
      <c r="A791" s="56" t="s">
        <v>3887</v>
      </c>
      <c r="B791" s="22"/>
      <c r="C791" s="22"/>
      <c r="D791" s="22"/>
      <c r="G791" s="57" t="s">
        <v>12</v>
      </c>
      <c r="H791" s="22" t="s">
        <v>3888</v>
      </c>
      <c r="J791" s="58">
        <v>17000.0</v>
      </c>
      <c r="K791" s="49"/>
    </row>
    <row r="792" ht="12.0" customHeight="1">
      <c r="A792" s="22"/>
      <c r="B792" s="22"/>
      <c r="C792" s="22"/>
      <c r="D792" s="22" t="s">
        <v>3889</v>
      </c>
      <c r="G792" s="22">
        <v>1.0</v>
      </c>
      <c r="K792" s="49">
        <f t="shared" ref="K792:K808" si="40">$J$791</f>
        <v>17000</v>
      </c>
    </row>
    <row r="793" ht="12.0" customHeight="1">
      <c r="A793" s="22"/>
      <c r="B793" s="22"/>
      <c r="C793" s="22"/>
      <c r="D793" s="22" t="s">
        <v>3890</v>
      </c>
      <c r="G793" s="22">
        <v>1.0</v>
      </c>
      <c r="K793" s="49">
        <f t="shared" si="40"/>
        <v>17000</v>
      </c>
    </row>
    <row r="794" ht="12.0" customHeight="1">
      <c r="A794" s="22"/>
      <c r="B794" s="22"/>
      <c r="C794" s="22"/>
      <c r="D794" s="22" t="s">
        <v>3891</v>
      </c>
      <c r="G794" s="22">
        <v>1.0</v>
      </c>
      <c r="K794" s="49">
        <f t="shared" si="40"/>
        <v>17000</v>
      </c>
    </row>
    <row r="795" ht="12.0" customHeight="1">
      <c r="A795" s="22"/>
      <c r="B795" s="22"/>
      <c r="C795" s="22"/>
      <c r="D795" s="22" t="s">
        <v>3892</v>
      </c>
      <c r="G795" s="22">
        <v>1.0</v>
      </c>
      <c r="K795" s="49">
        <f t="shared" si="40"/>
        <v>17000</v>
      </c>
    </row>
    <row r="796" ht="12.0" customHeight="1">
      <c r="A796" s="22"/>
      <c r="B796" s="22"/>
      <c r="C796" s="22"/>
      <c r="D796" s="22" t="s">
        <v>3893</v>
      </c>
      <c r="G796" s="22">
        <v>1.0</v>
      </c>
      <c r="K796" s="49">
        <f t="shared" si="40"/>
        <v>17000</v>
      </c>
    </row>
    <row r="797" ht="12.0" customHeight="1">
      <c r="A797" s="22"/>
      <c r="B797" s="22"/>
      <c r="C797" s="22"/>
      <c r="D797" s="22" t="s">
        <v>3894</v>
      </c>
      <c r="G797" s="22">
        <v>1.0</v>
      </c>
      <c r="K797" s="49">
        <f t="shared" si="40"/>
        <v>17000</v>
      </c>
    </row>
    <row r="798" ht="12.0" customHeight="1">
      <c r="A798" s="22"/>
      <c r="B798" s="22"/>
      <c r="C798" s="22"/>
      <c r="D798" s="22" t="s">
        <v>3895</v>
      </c>
      <c r="G798" s="22">
        <v>1.0</v>
      </c>
      <c r="K798" s="49">
        <f t="shared" si="40"/>
        <v>17000</v>
      </c>
    </row>
    <row r="799" ht="12.0" customHeight="1">
      <c r="A799" s="22"/>
      <c r="B799" s="22"/>
      <c r="C799" s="22"/>
      <c r="D799" s="22" t="s">
        <v>3896</v>
      </c>
      <c r="G799" s="22">
        <v>1.0</v>
      </c>
      <c r="K799" s="49">
        <f t="shared" si="40"/>
        <v>17000</v>
      </c>
    </row>
    <row r="800" ht="12.0" customHeight="1">
      <c r="A800" s="22"/>
      <c r="B800" s="22"/>
      <c r="C800" s="22"/>
      <c r="D800" s="22" t="s">
        <v>3897</v>
      </c>
      <c r="G800" s="22">
        <v>1.0</v>
      </c>
      <c r="K800" s="49">
        <f t="shared" si="40"/>
        <v>17000</v>
      </c>
    </row>
    <row r="801" ht="12.0" customHeight="1">
      <c r="A801" s="22"/>
      <c r="B801" s="22"/>
      <c r="C801" s="22"/>
      <c r="D801" s="22" t="s">
        <v>3898</v>
      </c>
      <c r="G801" s="22">
        <v>1.0</v>
      </c>
      <c r="K801" s="49">
        <f t="shared" si="40"/>
        <v>17000</v>
      </c>
    </row>
    <row r="802" ht="12.0" customHeight="1">
      <c r="A802" s="22"/>
      <c r="B802" s="22"/>
      <c r="C802" s="22"/>
      <c r="D802" s="22" t="s">
        <v>3899</v>
      </c>
      <c r="G802" s="22">
        <v>1.0</v>
      </c>
      <c r="K802" s="49">
        <f t="shared" si="40"/>
        <v>17000</v>
      </c>
    </row>
    <row r="803" ht="12.0" customHeight="1">
      <c r="A803" s="22"/>
      <c r="B803" s="22"/>
      <c r="C803" s="22"/>
      <c r="D803" s="22" t="s">
        <v>3900</v>
      </c>
      <c r="G803" s="22">
        <v>1.0</v>
      </c>
      <c r="K803" s="49">
        <f t="shared" si="40"/>
        <v>17000</v>
      </c>
    </row>
    <row r="804" ht="12.0" customHeight="1">
      <c r="A804" s="22"/>
      <c r="B804" s="22"/>
      <c r="C804" s="22"/>
      <c r="D804" s="22" t="s">
        <v>3901</v>
      </c>
      <c r="G804" s="22">
        <v>1.0</v>
      </c>
      <c r="K804" s="49">
        <f t="shared" si="40"/>
        <v>17000</v>
      </c>
    </row>
    <row r="805" ht="12.0" customHeight="1">
      <c r="A805" s="22"/>
      <c r="B805" s="22"/>
      <c r="C805" s="22"/>
      <c r="D805" s="22" t="s">
        <v>3902</v>
      </c>
      <c r="G805" s="22">
        <v>1.0</v>
      </c>
      <c r="K805" s="49">
        <f t="shared" si="40"/>
        <v>17000</v>
      </c>
    </row>
    <row r="806" ht="12.0" customHeight="1">
      <c r="A806" s="22"/>
      <c r="B806" s="22"/>
      <c r="C806" s="22"/>
      <c r="D806" s="22" t="s">
        <v>3903</v>
      </c>
      <c r="G806" s="22">
        <v>1.0</v>
      </c>
      <c r="K806" s="49">
        <f t="shared" si="40"/>
        <v>17000</v>
      </c>
    </row>
    <row r="807" ht="12.0" customHeight="1">
      <c r="A807" s="22"/>
      <c r="B807" s="22"/>
      <c r="C807" s="22"/>
      <c r="D807" s="22" t="s">
        <v>3904</v>
      </c>
      <c r="G807" s="22">
        <v>1.0</v>
      </c>
      <c r="K807" s="49">
        <f t="shared" si="40"/>
        <v>17000</v>
      </c>
    </row>
    <row r="808" ht="12.0" customHeight="1">
      <c r="A808" s="22"/>
      <c r="B808" s="22"/>
      <c r="C808" s="22"/>
      <c r="D808" s="22" t="s">
        <v>3905</v>
      </c>
      <c r="G808" s="22">
        <v>1.0</v>
      </c>
      <c r="K808" s="49">
        <f t="shared" si="40"/>
        <v>17000</v>
      </c>
    </row>
    <row r="809" ht="12.0" customHeight="1">
      <c r="A809" s="22"/>
      <c r="B809" s="22"/>
      <c r="C809" s="22"/>
      <c r="D809" s="22" t="s">
        <v>3906</v>
      </c>
      <c r="G809" s="22">
        <v>1.0</v>
      </c>
      <c r="H809" s="22" t="s">
        <v>3907</v>
      </c>
      <c r="K809" s="49">
        <v>16500.0</v>
      </c>
      <c r="L809" s="22"/>
    </row>
    <row r="810" ht="12.0" customHeight="1">
      <c r="A810" s="22"/>
      <c r="B810" s="22"/>
      <c r="C810" s="22"/>
      <c r="D810" s="22"/>
      <c r="K810" s="49"/>
    </row>
    <row r="811" ht="12.0" customHeight="1">
      <c r="A811" s="56" t="s">
        <v>3908</v>
      </c>
      <c r="B811" s="22"/>
      <c r="C811" s="22"/>
      <c r="D811" s="22"/>
      <c r="K811" s="49"/>
    </row>
    <row r="812" ht="12.0" customHeight="1">
      <c r="A812" s="22"/>
      <c r="B812" s="22"/>
      <c r="C812" s="22"/>
      <c r="D812" s="22" t="s">
        <v>3909</v>
      </c>
      <c r="G812" s="22">
        <v>3.0</v>
      </c>
      <c r="K812" s="49">
        <v>17000.0</v>
      </c>
      <c r="L812" s="27"/>
    </row>
    <row r="813" ht="12.0" customHeight="1">
      <c r="A813" s="22"/>
      <c r="B813" s="22"/>
      <c r="C813" s="22"/>
      <c r="D813" s="22" t="s">
        <v>3910</v>
      </c>
      <c r="G813" s="22">
        <v>3.0</v>
      </c>
      <c r="K813" s="49">
        <v>17000.0</v>
      </c>
    </row>
    <row r="814" ht="12.0" customHeight="1">
      <c r="A814" s="22"/>
      <c r="B814" s="22"/>
      <c r="C814" s="22"/>
      <c r="D814" s="22" t="s">
        <v>3911</v>
      </c>
      <c r="G814" s="22">
        <v>3.0</v>
      </c>
      <c r="K814" s="49">
        <v>23000.0</v>
      </c>
    </row>
    <row r="815" ht="12.0" customHeight="1">
      <c r="A815" s="22"/>
      <c r="B815" s="22"/>
      <c r="C815" s="22"/>
      <c r="D815" s="22" t="s">
        <v>3912</v>
      </c>
      <c r="G815" s="22">
        <v>3.0</v>
      </c>
      <c r="K815" s="49">
        <v>27500.0</v>
      </c>
    </row>
    <row r="816" ht="12.0" customHeight="1">
      <c r="A816" s="22"/>
      <c r="B816" s="22"/>
      <c r="C816" s="22"/>
      <c r="D816" s="22" t="s">
        <v>3913</v>
      </c>
      <c r="G816" s="22">
        <v>3.0</v>
      </c>
      <c r="K816" s="49">
        <v>27500.0</v>
      </c>
    </row>
    <row r="817" ht="12.0" customHeight="1">
      <c r="A817" s="22"/>
      <c r="B817" s="22"/>
      <c r="C817" s="22"/>
      <c r="D817" s="22" t="s">
        <v>3914</v>
      </c>
      <c r="G817" s="22">
        <v>3.0</v>
      </c>
      <c r="K817" s="49">
        <v>28000.0</v>
      </c>
    </row>
    <row r="818" ht="12.0" customHeight="1">
      <c r="A818" s="22"/>
      <c r="B818" s="22"/>
      <c r="C818" s="22"/>
      <c r="D818" s="22" t="s">
        <v>3915</v>
      </c>
      <c r="G818" s="22">
        <v>3.0</v>
      </c>
      <c r="K818" s="49">
        <v>28000.0</v>
      </c>
    </row>
    <row r="819" ht="12.0" customHeight="1">
      <c r="A819" s="22"/>
      <c r="B819" s="22"/>
      <c r="C819" s="22"/>
      <c r="D819" s="22" t="s">
        <v>3916</v>
      </c>
      <c r="G819" s="22">
        <v>3.0</v>
      </c>
      <c r="K819" s="49">
        <v>28000.0</v>
      </c>
    </row>
    <row r="820" ht="12.0" customHeight="1">
      <c r="A820" s="22"/>
      <c r="B820" s="22"/>
      <c r="C820" s="22"/>
      <c r="D820" s="22" t="s">
        <v>3917</v>
      </c>
      <c r="G820" s="22">
        <v>3.0</v>
      </c>
      <c r="K820" s="49">
        <v>33000.0</v>
      </c>
    </row>
    <row r="821" ht="12.0" customHeight="1">
      <c r="A821" s="22"/>
      <c r="B821" s="22"/>
      <c r="C821" s="22"/>
      <c r="D821" s="22" t="s">
        <v>3918</v>
      </c>
      <c r="G821" s="22">
        <v>3.0</v>
      </c>
      <c r="K821" s="49">
        <v>33000.0</v>
      </c>
    </row>
    <row r="822" ht="12.0" customHeight="1">
      <c r="A822" s="22"/>
      <c r="B822" s="22"/>
      <c r="C822" s="22"/>
      <c r="D822" s="22" t="s">
        <v>3919</v>
      </c>
      <c r="G822" s="22">
        <v>3.0</v>
      </c>
      <c r="K822" s="49">
        <v>43000.0</v>
      </c>
    </row>
    <row r="823" ht="12.0" customHeight="1">
      <c r="A823" s="22"/>
      <c r="B823" s="22"/>
      <c r="C823" s="22"/>
      <c r="D823" s="22" t="s">
        <v>3920</v>
      </c>
      <c r="G823" s="22">
        <v>3.0</v>
      </c>
      <c r="K823" s="49">
        <v>43000.0</v>
      </c>
    </row>
    <row r="824" ht="12.0" customHeight="1">
      <c r="A824" s="22"/>
      <c r="B824" s="22"/>
      <c r="C824" s="22"/>
      <c r="D824" s="22" t="s">
        <v>3921</v>
      </c>
      <c r="G824" s="22">
        <v>3.0</v>
      </c>
      <c r="K824" s="49">
        <v>45000.0</v>
      </c>
    </row>
    <row r="825" ht="12.0" customHeight="1">
      <c r="A825" s="22"/>
      <c r="B825" s="22"/>
      <c r="C825" s="22"/>
      <c r="D825" s="22" t="s">
        <v>3922</v>
      </c>
      <c r="G825" s="22">
        <v>3.0</v>
      </c>
      <c r="K825" s="49">
        <v>50000.0</v>
      </c>
    </row>
    <row r="826" ht="12.0" customHeight="1">
      <c r="A826" s="22"/>
      <c r="B826" s="22"/>
      <c r="C826" s="22"/>
      <c r="D826" s="22" t="s">
        <v>3923</v>
      </c>
      <c r="G826" s="22">
        <v>3.0</v>
      </c>
      <c r="K826" s="49">
        <v>50000.0</v>
      </c>
    </row>
    <row r="827" ht="12.0" customHeight="1">
      <c r="A827" s="22"/>
      <c r="B827" s="22"/>
      <c r="C827" s="22"/>
      <c r="D827" s="22"/>
      <c r="K827" s="49"/>
    </row>
    <row r="828" ht="12.0" customHeight="1">
      <c r="A828" s="56" t="s">
        <v>3924</v>
      </c>
      <c r="B828" s="22"/>
      <c r="C828" s="22"/>
      <c r="D828" s="22"/>
      <c r="K828" s="49"/>
    </row>
    <row r="829" ht="12.0" customHeight="1">
      <c r="A829" s="22"/>
      <c r="B829" s="22"/>
      <c r="C829" s="22"/>
      <c r="D829" s="22" t="s">
        <v>3925</v>
      </c>
      <c r="G829" s="22">
        <v>1.0</v>
      </c>
      <c r="K829" s="49">
        <v>1000.0</v>
      </c>
      <c r="L829" s="27"/>
    </row>
    <row r="830" ht="12.0" customHeight="1">
      <c r="A830" s="22"/>
      <c r="B830" s="22"/>
      <c r="C830" s="22"/>
      <c r="D830" s="22" t="s">
        <v>3926</v>
      </c>
      <c r="G830" s="22">
        <v>1.0</v>
      </c>
      <c r="K830" s="49">
        <v>1000.0</v>
      </c>
    </row>
    <row r="831" ht="12.0" customHeight="1">
      <c r="A831" s="22"/>
      <c r="B831" s="22"/>
      <c r="C831" s="22"/>
      <c r="D831" s="22" t="s">
        <v>3927</v>
      </c>
      <c r="G831" s="22">
        <v>1.0</v>
      </c>
      <c r="K831" s="49">
        <v>1000.0</v>
      </c>
    </row>
    <row r="832" ht="12.0" customHeight="1">
      <c r="A832" s="22"/>
      <c r="B832" s="22"/>
      <c r="C832" s="22"/>
      <c r="D832" s="22" t="s">
        <v>3928</v>
      </c>
      <c r="G832" s="22">
        <v>1.0</v>
      </c>
      <c r="K832" s="49">
        <v>1000.0</v>
      </c>
    </row>
    <row r="833" ht="12.0" customHeight="1">
      <c r="A833" s="22"/>
      <c r="B833" s="22"/>
      <c r="C833" s="22"/>
      <c r="D833" s="22" t="s">
        <v>3929</v>
      </c>
      <c r="G833" s="22">
        <v>1.0</v>
      </c>
      <c r="K833" s="49">
        <v>1000.0</v>
      </c>
    </row>
    <row r="834" ht="12.0" customHeight="1">
      <c r="A834" s="22"/>
      <c r="B834" s="22"/>
      <c r="C834" s="22"/>
      <c r="D834" s="22" t="s">
        <v>3930</v>
      </c>
      <c r="G834" s="22">
        <v>1.0</v>
      </c>
      <c r="K834" s="49">
        <v>3000.0</v>
      </c>
    </row>
    <row r="835" ht="12.0" customHeight="1">
      <c r="A835" s="22"/>
      <c r="B835" s="22"/>
      <c r="C835" s="22"/>
      <c r="D835" s="22" t="s">
        <v>3931</v>
      </c>
      <c r="G835" s="22">
        <v>1.0</v>
      </c>
      <c r="K835" s="49">
        <v>3000.0</v>
      </c>
    </row>
    <row r="836" ht="12.0" customHeight="1">
      <c r="A836" s="22"/>
      <c r="B836" s="22"/>
      <c r="C836" s="22"/>
      <c r="D836" s="22" t="s">
        <v>3932</v>
      </c>
      <c r="G836" s="22">
        <v>1.0</v>
      </c>
      <c r="K836" s="49">
        <v>3000.0</v>
      </c>
    </row>
    <row r="837" ht="12.0" customHeight="1">
      <c r="A837" s="22"/>
      <c r="B837" s="22"/>
      <c r="C837" s="22"/>
      <c r="D837" s="22" t="s">
        <v>3933</v>
      </c>
      <c r="G837" s="22">
        <v>1.0</v>
      </c>
      <c r="K837" s="49">
        <v>11000.0</v>
      </c>
    </row>
    <row r="838" ht="12.0" customHeight="1">
      <c r="A838" s="22"/>
      <c r="B838" s="22"/>
      <c r="C838" s="22"/>
      <c r="D838" s="22" t="s">
        <v>3934</v>
      </c>
      <c r="G838" s="22">
        <v>1.0</v>
      </c>
      <c r="K838" s="49">
        <v>11000.0</v>
      </c>
    </row>
    <row r="839" ht="12.0" customHeight="1">
      <c r="A839" s="22"/>
      <c r="B839" s="22"/>
      <c r="C839" s="22"/>
      <c r="D839" s="22" t="s">
        <v>3935</v>
      </c>
      <c r="G839" s="22">
        <v>1.0</v>
      </c>
      <c r="K839" s="49">
        <v>11000.0</v>
      </c>
    </row>
    <row r="840" ht="12.0" customHeight="1">
      <c r="A840" s="22"/>
      <c r="B840" s="22"/>
      <c r="C840" s="22"/>
      <c r="D840" s="22"/>
      <c r="K840" s="49"/>
    </row>
    <row r="841" ht="12.0" customHeight="1">
      <c r="A841" s="85"/>
      <c r="B841" s="22"/>
      <c r="C841" s="22"/>
      <c r="D841" s="22"/>
      <c r="K841" s="49"/>
    </row>
    <row r="842" ht="12.0" customHeight="1">
      <c r="A842" s="22"/>
      <c r="B842" s="22"/>
      <c r="C842" s="22"/>
      <c r="D842" s="22"/>
      <c r="K842" s="49"/>
    </row>
    <row r="843" ht="12.0" customHeight="1">
      <c r="A843" s="22"/>
      <c r="B843" s="22"/>
      <c r="C843" s="22"/>
      <c r="D843" s="22"/>
      <c r="K843" s="49"/>
    </row>
    <row r="844" ht="12.0" customHeight="1">
      <c r="A844" s="22"/>
      <c r="B844" s="22"/>
      <c r="C844" s="22"/>
      <c r="D844" s="22"/>
      <c r="K844" s="49"/>
    </row>
    <row r="845" ht="12.0" customHeight="1">
      <c r="A845" s="22"/>
      <c r="B845" s="22"/>
      <c r="C845" s="22"/>
      <c r="D845" s="22"/>
      <c r="K845" s="49"/>
    </row>
    <row r="846" ht="12.0" customHeight="1">
      <c r="A846" s="22"/>
      <c r="B846" s="22"/>
      <c r="C846" s="22"/>
      <c r="D846" s="22"/>
      <c r="K846" s="49"/>
    </row>
    <row r="847" ht="12.0" customHeight="1">
      <c r="A847" s="22"/>
      <c r="B847" s="22"/>
      <c r="C847" s="22"/>
      <c r="D847" s="22"/>
      <c r="K847" s="49"/>
    </row>
    <row r="848" ht="12.0" customHeight="1">
      <c r="A848" s="22"/>
      <c r="B848" s="22"/>
      <c r="C848" s="22"/>
      <c r="D848" s="22"/>
      <c r="K848" s="49"/>
    </row>
    <row r="849" ht="12.0" customHeight="1">
      <c r="A849" s="22"/>
      <c r="B849" s="22"/>
      <c r="C849" s="22"/>
      <c r="D849" s="22"/>
      <c r="K849" s="49"/>
    </row>
    <row r="850" ht="12.0" customHeight="1">
      <c r="A850" s="22"/>
      <c r="B850" s="22"/>
      <c r="C850" s="22"/>
      <c r="D850" s="22"/>
      <c r="K850" s="49"/>
    </row>
    <row r="851" ht="12.0" customHeight="1">
      <c r="A851" s="22"/>
      <c r="B851" s="22"/>
      <c r="C851" s="22"/>
      <c r="D851" s="22"/>
      <c r="K851" s="49"/>
    </row>
    <row r="852" ht="12.0" customHeight="1">
      <c r="A852" s="22"/>
      <c r="B852" s="22"/>
      <c r="C852" s="22"/>
      <c r="D852" s="22"/>
      <c r="K852" s="49"/>
    </row>
    <row r="853" ht="12.0" customHeight="1">
      <c r="A853" s="22"/>
      <c r="B853" s="22"/>
      <c r="C853" s="22"/>
      <c r="D853" s="22"/>
      <c r="K853" s="49"/>
    </row>
    <row r="854" ht="12.0" customHeight="1">
      <c r="A854" s="22"/>
      <c r="B854" s="22"/>
      <c r="C854" s="22"/>
      <c r="D854" s="22"/>
      <c r="K854" s="49"/>
    </row>
    <row r="855" ht="12.0" customHeight="1">
      <c r="A855" s="22"/>
      <c r="B855" s="22"/>
      <c r="C855" s="22"/>
      <c r="D855" s="22"/>
      <c r="K855" s="49"/>
    </row>
    <row r="856" ht="12.0" customHeight="1">
      <c r="A856" s="22"/>
      <c r="B856" s="22"/>
      <c r="C856" s="22"/>
      <c r="D856" s="22"/>
      <c r="K856" s="49"/>
    </row>
    <row r="857" ht="12.0" customHeight="1">
      <c r="A857" s="22"/>
      <c r="B857" s="22"/>
      <c r="C857" s="22"/>
      <c r="D857" s="22"/>
      <c r="K857" s="49"/>
    </row>
    <row r="858" ht="12.0" customHeight="1">
      <c r="A858" s="22"/>
      <c r="B858" s="22"/>
      <c r="C858" s="22"/>
      <c r="D858" s="22"/>
      <c r="K858" s="49"/>
    </row>
    <row r="859" ht="12.0" customHeight="1">
      <c r="A859" s="22"/>
      <c r="B859" s="22"/>
      <c r="C859" s="22"/>
      <c r="D859" s="22"/>
      <c r="K859" s="49"/>
    </row>
    <row r="860" ht="12.0" customHeight="1">
      <c r="A860" s="22"/>
      <c r="B860" s="22"/>
      <c r="C860" s="22"/>
      <c r="D860" s="22"/>
      <c r="K860" s="49"/>
    </row>
    <row r="861" ht="12.0" customHeight="1">
      <c r="A861" s="22"/>
      <c r="B861" s="22"/>
      <c r="C861" s="22"/>
      <c r="D861" s="22"/>
      <c r="K861" s="49"/>
    </row>
    <row r="862" ht="12.0" customHeight="1">
      <c r="A862" s="22"/>
      <c r="B862" s="22"/>
      <c r="C862" s="22"/>
      <c r="D862" s="22"/>
      <c r="K862" s="49"/>
    </row>
    <row r="863" ht="12.0" customHeight="1">
      <c r="A863" s="22"/>
      <c r="B863" s="22"/>
      <c r="C863" s="22"/>
      <c r="D863" s="22"/>
      <c r="K863" s="49"/>
    </row>
    <row r="864" ht="12.0" customHeight="1">
      <c r="A864" s="22"/>
      <c r="B864" s="22"/>
      <c r="C864" s="22"/>
      <c r="D864" s="22"/>
      <c r="K864" s="49"/>
    </row>
    <row r="865" ht="12.0" customHeight="1">
      <c r="A865" s="22"/>
      <c r="B865" s="22"/>
      <c r="C865" s="22"/>
      <c r="D865" s="22"/>
      <c r="K865" s="49"/>
    </row>
    <row r="866" ht="12.0" customHeight="1">
      <c r="A866" s="22"/>
      <c r="B866" s="22"/>
      <c r="C866" s="22"/>
      <c r="D866" s="22"/>
      <c r="K866" s="49"/>
    </row>
    <row r="867" ht="12.0" customHeight="1">
      <c r="A867" s="22"/>
      <c r="B867" s="22"/>
      <c r="C867" s="22"/>
      <c r="D867" s="22"/>
      <c r="K867" s="49"/>
    </row>
    <row r="868" ht="12.0" customHeight="1">
      <c r="A868" s="22"/>
      <c r="B868" s="22"/>
      <c r="C868" s="22"/>
      <c r="D868" s="22"/>
      <c r="K868" s="49"/>
    </row>
    <row r="869" ht="12.0" customHeight="1">
      <c r="A869" s="22"/>
      <c r="B869" s="22"/>
      <c r="C869" s="22"/>
      <c r="D869" s="22"/>
      <c r="K869" s="49"/>
    </row>
    <row r="870" ht="12.0" customHeight="1">
      <c r="A870" s="22"/>
      <c r="B870" s="22"/>
      <c r="C870" s="22"/>
      <c r="D870" s="22"/>
      <c r="K870" s="49"/>
    </row>
    <row r="871" ht="12.0" customHeight="1">
      <c r="A871" s="22"/>
      <c r="B871" s="22"/>
      <c r="C871" s="22"/>
      <c r="D871" s="22"/>
      <c r="K871" s="49"/>
    </row>
    <row r="872" ht="12.0" customHeight="1">
      <c r="A872" s="22"/>
      <c r="B872" s="22"/>
      <c r="C872" s="22"/>
      <c r="D872" s="22"/>
      <c r="K872" s="49"/>
    </row>
    <row r="873" ht="12.0" customHeight="1">
      <c r="A873" s="22"/>
      <c r="B873" s="22"/>
      <c r="C873" s="22"/>
      <c r="D873" s="22"/>
      <c r="K873" s="49"/>
    </row>
    <row r="874" ht="12.0" customHeight="1">
      <c r="A874" s="22"/>
      <c r="B874" s="22"/>
      <c r="C874" s="22"/>
      <c r="D874" s="22"/>
      <c r="K874" s="49"/>
    </row>
    <row r="875" ht="12.0" customHeight="1">
      <c r="A875" s="22"/>
      <c r="B875" s="22"/>
      <c r="C875" s="22"/>
      <c r="D875" s="22"/>
      <c r="K875" s="49"/>
    </row>
    <row r="876" ht="12.0" customHeight="1">
      <c r="A876" s="22"/>
      <c r="B876" s="22"/>
      <c r="C876" s="22"/>
      <c r="D876" s="22"/>
      <c r="K876" s="49"/>
    </row>
    <row r="877" ht="12.0" customHeight="1">
      <c r="A877" s="22"/>
      <c r="B877" s="22"/>
      <c r="C877" s="22"/>
      <c r="D877" s="22"/>
      <c r="K877" s="49"/>
    </row>
    <row r="878" ht="12.0" customHeight="1">
      <c r="A878" s="22"/>
      <c r="B878" s="22"/>
      <c r="C878" s="22"/>
      <c r="D878" s="22"/>
      <c r="K878" s="49"/>
    </row>
    <row r="879" ht="12.0" customHeight="1">
      <c r="A879" s="22"/>
      <c r="B879" s="22"/>
      <c r="C879" s="22"/>
      <c r="D879" s="22"/>
      <c r="K879" s="49"/>
    </row>
    <row r="880" ht="12.0" customHeight="1">
      <c r="A880" s="22"/>
      <c r="B880" s="22"/>
      <c r="C880" s="22"/>
      <c r="D880" s="22"/>
      <c r="K880" s="49"/>
    </row>
    <row r="881" ht="12.0" customHeight="1">
      <c r="A881" s="22"/>
      <c r="B881" s="22"/>
      <c r="C881" s="22"/>
      <c r="D881" s="22"/>
      <c r="K881" s="49"/>
    </row>
    <row r="882" ht="12.0" customHeight="1">
      <c r="A882" s="22"/>
      <c r="B882" s="22"/>
      <c r="C882" s="22"/>
      <c r="D882" s="22"/>
      <c r="K882" s="49"/>
    </row>
    <row r="883" ht="12.0" customHeight="1">
      <c r="A883" s="22"/>
      <c r="B883" s="22"/>
      <c r="C883" s="22"/>
      <c r="D883" s="22"/>
      <c r="K883" s="49"/>
    </row>
    <row r="884" ht="12.0" customHeight="1">
      <c r="A884" s="22"/>
      <c r="B884" s="22"/>
      <c r="C884" s="22"/>
      <c r="D884" s="22"/>
      <c r="K884" s="49"/>
    </row>
    <row r="885" ht="12.0" customHeight="1">
      <c r="A885" s="22"/>
      <c r="B885" s="22"/>
      <c r="C885" s="22"/>
      <c r="D885" s="22"/>
      <c r="K885" s="49"/>
    </row>
    <row r="886" ht="12.0" customHeight="1">
      <c r="A886" s="22"/>
      <c r="B886" s="22"/>
      <c r="C886" s="22"/>
      <c r="D886" s="22"/>
      <c r="K886" s="49"/>
    </row>
    <row r="887" ht="12.0" customHeight="1">
      <c r="A887" s="22"/>
      <c r="B887" s="22"/>
      <c r="C887" s="22"/>
      <c r="D887" s="22"/>
      <c r="K887" s="49"/>
    </row>
    <row r="888" ht="12.0" customHeight="1">
      <c r="A888" s="22"/>
      <c r="B888" s="22"/>
      <c r="C888" s="22"/>
      <c r="D888" s="22"/>
      <c r="K888" s="49"/>
    </row>
    <row r="889" ht="12.0" customHeight="1">
      <c r="A889" s="22"/>
      <c r="B889" s="22"/>
      <c r="C889" s="22"/>
      <c r="D889" s="22"/>
      <c r="K889" s="49"/>
    </row>
    <row r="890" ht="12.0" customHeight="1">
      <c r="A890" s="22"/>
      <c r="B890" s="22"/>
      <c r="C890" s="22"/>
      <c r="D890" s="22"/>
      <c r="K890" s="49"/>
    </row>
    <row r="891" ht="12.0" customHeight="1">
      <c r="A891" s="22"/>
      <c r="B891" s="22"/>
      <c r="C891" s="22"/>
      <c r="D891" s="22"/>
      <c r="K891" s="49"/>
    </row>
    <row r="892" ht="12.0" customHeight="1">
      <c r="A892" s="22"/>
      <c r="B892" s="22"/>
      <c r="C892" s="22"/>
      <c r="D892" s="22"/>
      <c r="K892" s="49"/>
    </row>
    <row r="893" ht="12.0" customHeight="1">
      <c r="A893" s="22"/>
      <c r="B893" s="22"/>
      <c r="C893" s="22"/>
      <c r="D893" s="22"/>
      <c r="K893" s="49"/>
    </row>
    <row r="894" ht="12.0" customHeight="1">
      <c r="A894" s="22"/>
      <c r="B894" s="22"/>
      <c r="C894" s="22"/>
      <c r="D894" s="22"/>
      <c r="K894" s="49"/>
    </row>
    <row r="895" ht="12.0" customHeight="1">
      <c r="A895" s="22"/>
      <c r="B895" s="22"/>
      <c r="C895" s="22"/>
      <c r="D895" s="22"/>
      <c r="K895" s="49"/>
    </row>
    <row r="896" ht="12.0" customHeight="1">
      <c r="A896" s="22"/>
      <c r="B896" s="22"/>
      <c r="C896" s="22"/>
      <c r="D896" s="22"/>
      <c r="K896" s="49"/>
    </row>
    <row r="897" ht="12.0" customHeight="1">
      <c r="A897" s="22"/>
      <c r="B897" s="22"/>
      <c r="C897" s="22"/>
      <c r="D897" s="22"/>
      <c r="K897" s="49"/>
    </row>
    <row r="898" ht="12.0" customHeight="1">
      <c r="A898" s="22"/>
      <c r="B898" s="22"/>
      <c r="C898" s="22"/>
      <c r="D898" s="22"/>
      <c r="K898" s="49"/>
    </row>
    <row r="899" ht="12.0" customHeight="1">
      <c r="A899" s="22"/>
      <c r="B899" s="22"/>
      <c r="C899" s="22"/>
      <c r="D899" s="22"/>
      <c r="K899" s="49"/>
    </row>
    <row r="900" ht="12.0" customHeight="1">
      <c r="A900" s="22"/>
      <c r="B900" s="22"/>
      <c r="C900" s="22"/>
      <c r="D900" s="22"/>
      <c r="K900" s="49"/>
    </row>
    <row r="901" ht="12.0" customHeight="1">
      <c r="A901" s="22"/>
      <c r="B901" s="22"/>
      <c r="C901" s="22"/>
      <c r="D901" s="22"/>
      <c r="K901" s="49"/>
    </row>
    <row r="902" ht="12.0" customHeight="1">
      <c r="A902" s="22"/>
      <c r="B902" s="22"/>
      <c r="C902" s="22"/>
      <c r="D902" s="22"/>
      <c r="K902" s="49"/>
    </row>
    <row r="903" ht="12.0" customHeight="1">
      <c r="A903" s="22"/>
      <c r="B903" s="22"/>
      <c r="C903" s="22"/>
      <c r="D903" s="22"/>
      <c r="K903" s="49"/>
    </row>
    <row r="904" ht="12.0" customHeight="1">
      <c r="A904" s="22"/>
      <c r="B904" s="22"/>
      <c r="C904" s="22"/>
      <c r="D904" s="22"/>
      <c r="K904" s="49"/>
    </row>
    <row r="905" ht="12.0" customHeight="1">
      <c r="A905" s="22"/>
      <c r="B905" s="22"/>
      <c r="C905" s="22"/>
      <c r="D905" s="22"/>
      <c r="K905" s="49"/>
    </row>
    <row r="906" ht="12.0" customHeight="1">
      <c r="A906" s="22"/>
      <c r="B906" s="22"/>
      <c r="C906" s="22"/>
      <c r="D906" s="22"/>
      <c r="K906" s="49"/>
    </row>
    <row r="907" ht="12.0" customHeight="1">
      <c r="A907" s="22"/>
      <c r="B907" s="22"/>
      <c r="C907" s="22"/>
      <c r="D907" s="22"/>
      <c r="K907" s="49"/>
    </row>
    <row r="908" ht="12.0" customHeight="1">
      <c r="A908" s="22"/>
      <c r="B908" s="22"/>
      <c r="C908" s="22"/>
      <c r="D908" s="22"/>
      <c r="K908" s="49"/>
    </row>
    <row r="909" ht="12.0" customHeight="1">
      <c r="A909" s="22"/>
      <c r="B909" s="22"/>
      <c r="C909" s="22"/>
      <c r="D909" s="22"/>
      <c r="K909" s="49"/>
    </row>
    <row r="910" ht="12.0" customHeight="1">
      <c r="A910" s="22"/>
      <c r="B910" s="22"/>
      <c r="C910" s="22"/>
      <c r="D910" s="22"/>
      <c r="K910" s="49"/>
    </row>
    <row r="911" ht="12.0" customHeight="1">
      <c r="A911" s="22"/>
      <c r="B911" s="22"/>
      <c r="C911" s="22"/>
      <c r="D911" s="22"/>
      <c r="K911" s="49"/>
    </row>
    <row r="912" ht="12.0" customHeight="1">
      <c r="A912" s="22"/>
      <c r="B912" s="22"/>
      <c r="C912" s="22"/>
      <c r="D912" s="22"/>
      <c r="K912" s="49"/>
    </row>
    <row r="913" ht="12.0" customHeight="1">
      <c r="A913" s="22"/>
      <c r="B913" s="22"/>
      <c r="C913" s="22"/>
      <c r="D913" s="22"/>
      <c r="K913" s="49"/>
    </row>
    <row r="914" ht="12.0" customHeight="1">
      <c r="A914" s="22"/>
      <c r="B914" s="22"/>
      <c r="C914" s="22"/>
      <c r="D914" s="22"/>
      <c r="K914" s="49"/>
    </row>
    <row r="915" ht="12.0" customHeight="1">
      <c r="A915" s="22"/>
      <c r="B915" s="22"/>
      <c r="C915" s="22"/>
      <c r="D915" s="22"/>
      <c r="K915" s="49"/>
    </row>
    <row r="916" ht="12.0" customHeight="1">
      <c r="A916" s="22"/>
      <c r="B916" s="22"/>
      <c r="C916" s="22"/>
      <c r="D916" s="22"/>
      <c r="K916" s="49"/>
    </row>
    <row r="917" ht="12.0" customHeight="1">
      <c r="A917" s="22"/>
      <c r="B917" s="22"/>
      <c r="C917" s="22"/>
      <c r="D917" s="22"/>
      <c r="K917" s="49"/>
    </row>
    <row r="918" ht="12.0" customHeight="1">
      <c r="A918" s="22"/>
      <c r="B918" s="22"/>
      <c r="C918" s="22"/>
      <c r="D918" s="22"/>
      <c r="K918" s="49"/>
    </row>
    <row r="919" ht="12.0" customHeight="1">
      <c r="A919" s="22"/>
      <c r="B919" s="22"/>
      <c r="C919" s="22"/>
      <c r="D919" s="22"/>
      <c r="K919" s="49"/>
    </row>
    <row r="920" ht="12.0" customHeight="1">
      <c r="A920" s="22"/>
      <c r="B920" s="22"/>
      <c r="C920" s="22"/>
      <c r="D920" s="22"/>
      <c r="K920" s="49"/>
    </row>
    <row r="921" ht="12.0" customHeight="1">
      <c r="A921" s="22"/>
      <c r="B921" s="22"/>
      <c r="C921" s="22"/>
      <c r="D921" s="22"/>
      <c r="K921" s="49"/>
    </row>
    <row r="922" ht="12.0" customHeight="1">
      <c r="A922" s="22"/>
      <c r="B922" s="22"/>
      <c r="C922" s="22"/>
      <c r="D922" s="22"/>
      <c r="K922" s="49"/>
    </row>
    <row r="923" ht="12.0" customHeight="1">
      <c r="A923" s="22"/>
      <c r="B923" s="22"/>
      <c r="C923" s="22"/>
      <c r="D923" s="22"/>
      <c r="K923" s="49"/>
    </row>
    <row r="924" ht="12.0" customHeight="1">
      <c r="A924" s="22"/>
      <c r="B924" s="22"/>
      <c r="C924" s="22"/>
      <c r="D924" s="22"/>
      <c r="K924" s="49"/>
    </row>
    <row r="925" ht="12.0" customHeight="1">
      <c r="A925" s="22"/>
      <c r="B925" s="22"/>
      <c r="C925" s="22"/>
      <c r="D925" s="22"/>
      <c r="K925" s="49"/>
    </row>
    <row r="926" ht="12.0" customHeight="1">
      <c r="A926" s="22"/>
      <c r="B926" s="22"/>
      <c r="C926" s="22"/>
      <c r="D926" s="22"/>
      <c r="K926" s="49"/>
    </row>
    <row r="927" ht="12.0" customHeight="1">
      <c r="A927" s="22"/>
      <c r="B927" s="22"/>
      <c r="C927" s="22"/>
      <c r="D927" s="22"/>
      <c r="K927" s="49"/>
    </row>
    <row r="928" ht="12.0" customHeight="1">
      <c r="A928" s="22"/>
      <c r="B928" s="22"/>
      <c r="C928" s="22"/>
      <c r="D928" s="22"/>
      <c r="K928" s="49"/>
    </row>
    <row r="929" ht="12.0" customHeight="1">
      <c r="A929" s="22"/>
      <c r="B929" s="22"/>
      <c r="C929" s="22"/>
      <c r="D929" s="22"/>
      <c r="K929" s="49"/>
    </row>
    <row r="930" ht="12.0" customHeight="1">
      <c r="A930" s="22"/>
      <c r="B930" s="22"/>
      <c r="C930" s="22"/>
      <c r="D930" s="22"/>
      <c r="K930" s="49"/>
    </row>
    <row r="931" ht="12.0" customHeight="1">
      <c r="A931" s="22"/>
      <c r="B931" s="22"/>
      <c r="C931" s="22"/>
      <c r="D931" s="22"/>
      <c r="K931" s="49"/>
    </row>
    <row r="932" ht="12.0" customHeight="1">
      <c r="A932" s="22"/>
      <c r="B932" s="22"/>
      <c r="C932" s="22"/>
      <c r="D932" s="22"/>
      <c r="K932" s="49"/>
    </row>
    <row r="933" ht="12.0" customHeight="1">
      <c r="A933" s="22"/>
      <c r="B933" s="22"/>
      <c r="C933" s="22"/>
      <c r="D933" s="22"/>
      <c r="K933" s="49"/>
    </row>
    <row r="934" ht="12.0" customHeight="1">
      <c r="A934" s="22"/>
      <c r="B934" s="22"/>
      <c r="C934" s="22"/>
      <c r="D934" s="22"/>
      <c r="K934" s="49"/>
    </row>
    <row r="935" ht="12.0" customHeight="1">
      <c r="A935" s="22"/>
      <c r="B935" s="22"/>
      <c r="C935" s="22"/>
      <c r="D935" s="22"/>
      <c r="K935" s="49"/>
    </row>
    <row r="936" ht="12.0" customHeight="1">
      <c r="A936" s="22"/>
      <c r="B936" s="22"/>
      <c r="C936" s="22"/>
      <c r="D936" s="22"/>
      <c r="K936" s="49"/>
    </row>
    <row r="937" ht="12.0" customHeight="1">
      <c r="A937" s="22"/>
      <c r="B937" s="22"/>
      <c r="C937" s="22"/>
      <c r="D937" s="22"/>
      <c r="K937" s="49"/>
    </row>
    <row r="938" ht="12.0" customHeight="1">
      <c r="A938" s="22"/>
      <c r="B938" s="22"/>
      <c r="C938" s="22"/>
      <c r="D938" s="22"/>
      <c r="K938" s="49"/>
    </row>
    <row r="939" ht="12.0" customHeight="1">
      <c r="A939" s="22"/>
      <c r="B939" s="22"/>
      <c r="C939" s="22"/>
      <c r="D939" s="22"/>
      <c r="K939" s="49"/>
    </row>
    <row r="940" ht="12.0" customHeight="1">
      <c r="A940" s="22"/>
      <c r="B940" s="22"/>
      <c r="C940" s="22"/>
      <c r="D940" s="22"/>
      <c r="K940" s="49"/>
    </row>
    <row r="941" ht="12.0" customHeight="1">
      <c r="A941" s="22"/>
      <c r="B941" s="22"/>
      <c r="C941" s="22"/>
      <c r="D941" s="22"/>
      <c r="K941" s="49"/>
    </row>
    <row r="942" ht="12.0" customHeight="1">
      <c r="A942" s="22"/>
      <c r="B942" s="22"/>
      <c r="C942" s="22"/>
      <c r="D942" s="22"/>
      <c r="K942" s="49"/>
    </row>
    <row r="943" ht="12.0" customHeight="1">
      <c r="A943" s="22"/>
      <c r="B943" s="22"/>
      <c r="C943" s="22"/>
      <c r="D943" s="22"/>
      <c r="K943" s="49"/>
    </row>
    <row r="944" ht="12.0" customHeight="1">
      <c r="A944" s="22"/>
      <c r="B944" s="22"/>
      <c r="C944" s="22"/>
      <c r="D944" s="22"/>
      <c r="K944" s="49"/>
    </row>
    <row r="945" ht="12.0" customHeight="1">
      <c r="A945" s="22"/>
      <c r="B945" s="22"/>
      <c r="C945" s="22"/>
      <c r="D945" s="22"/>
      <c r="K945" s="49"/>
    </row>
    <row r="946" ht="12.0" customHeight="1">
      <c r="A946" s="22"/>
      <c r="B946" s="22"/>
      <c r="C946" s="22"/>
      <c r="D946" s="22"/>
      <c r="K946" s="49"/>
    </row>
    <row r="947" ht="12.0" customHeight="1">
      <c r="A947" s="22"/>
      <c r="B947" s="22"/>
      <c r="C947" s="22"/>
      <c r="D947" s="22"/>
      <c r="K947" s="49"/>
    </row>
    <row r="948" ht="12.0" customHeight="1">
      <c r="A948" s="22"/>
      <c r="B948" s="22"/>
      <c r="C948" s="22"/>
      <c r="D948" s="22"/>
      <c r="K948" s="49"/>
    </row>
    <row r="949" ht="12.0" customHeight="1">
      <c r="A949" s="22"/>
      <c r="B949" s="22"/>
      <c r="C949" s="22"/>
      <c r="D949" s="22"/>
      <c r="K949" s="49"/>
    </row>
    <row r="950" ht="12.0" customHeight="1">
      <c r="A950" s="22"/>
      <c r="B950" s="22"/>
      <c r="C950" s="22"/>
      <c r="D950" s="22"/>
      <c r="K950" s="49"/>
    </row>
    <row r="951" ht="12.0" customHeight="1">
      <c r="A951" s="22"/>
      <c r="B951" s="22"/>
      <c r="C951" s="22"/>
      <c r="D951" s="22"/>
      <c r="K951" s="49"/>
    </row>
    <row r="952" ht="12.0" customHeight="1">
      <c r="A952" s="22"/>
      <c r="B952" s="22"/>
      <c r="C952" s="22"/>
      <c r="D952" s="22"/>
      <c r="K952" s="49"/>
    </row>
    <row r="953" ht="12.0" customHeight="1">
      <c r="A953" s="22"/>
      <c r="B953" s="22"/>
      <c r="C953" s="22"/>
      <c r="D953" s="22"/>
      <c r="K953" s="49"/>
    </row>
    <row r="954" ht="12.0" customHeight="1">
      <c r="A954" s="22"/>
      <c r="B954" s="22"/>
      <c r="C954" s="22"/>
      <c r="D954" s="22"/>
      <c r="K954" s="49"/>
    </row>
    <row r="955" ht="12.0" customHeight="1">
      <c r="A955" s="22"/>
      <c r="B955" s="22"/>
      <c r="C955" s="22"/>
      <c r="D955" s="22"/>
      <c r="K955" s="49"/>
    </row>
    <row r="956" ht="12.0" customHeight="1">
      <c r="A956" s="22"/>
      <c r="B956" s="22"/>
      <c r="C956" s="22"/>
      <c r="D956" s="22"/>
      <c r="K956" s="49"/>
    </row>
    <row r="957" ht="12.0" customHeight="1">
      <c r="A957" s="22"/>
      <c r="B957" s="22"/>
      <c r="C957" s="22"/>
      <c r="D957" s="22"/>
      <c r="K957" s="49"/>
    </row>
    <row r="958" ht="12.0" customHeight="1">
      <c r="A958" s="22"/>
      <c r="B958" s="22"/>
      <c r="C958" s="22"/>
      <c r="D958" s="22"/>
      <c r="K958" s="49"/>
    </row>
    <row r="959" ht="12.0" customHeight="1">
      <c r="A959" s="22"/>
      <c r="B959" s="22"/>
      <c r="C959" s="22"/>
      <c r="D959" s="22"/>
      <c r="K959" s="49"/>
    </row>
    <row r="960" ht="12.0" customHeight="1">
      <c r="A960" s="22"/>
      <c r="B960" s="22"/>
      <c r="C960" s="22"/>
      <c r="D960" s="22"/>
      <c r="K960" s="49"/>
    </row>
    <row r="961" ht="12.0" customHeight="1">
      <c r="A961" s="22"/>
      <c r="B961" s="22"/>
      <c r="C961" s="22"/>
      <c r="D961" s="22"/>
      <c r="K961" s="49"/>
    </row>
    <row r="962" ht="12.0" customHeight="1">
      <c r="A962" s="22"/>
      <c r="B962" s="22"/>
      <c r="C962" s="22"/>
      <c r="D962" s="22"/>
      <c r="K962" s="49"/>
    </row>
    <row r="963" ht="12.0" customHeight="1">
      <c r="A963" s="22"/>
      <c r="B963" s="22"/>
      <c r="C963" s="22"/>
      <c r="D963" s="22"/>
      <c r="K963" s="49"/>
    </row>
    <row r="964" ht="12.0" customHeight="1">
      <c r="A964" s="22"/>
      <c r="B964" s="22"/>
      <c r="C964" s="22"/>
      <c r="D964" s="22"/>
      <c r="K964" s="49"/>
    </row>
    <row r="965" ht="12.0" customHeight="1">
      <c r="A965" s="22"/>
      <c r="B965" s="22"/>
      <c r="C965" s="22"/>
      <c r="D965" s="22"/>
      <c r="K965" s="49"/>
    </row>
    <row r="966" ht="12.0" customHeight="1">
      <c r="A966" s="22"/>
      <c r="B966" s="22"/>
      <c r="C966" s="22"/>
      <c r="D966" s="22"/>
      <c r="K966" s="49"/>
    </row>
    <row r="967" ht="12.0" customHeight="1">
      <c r="A967" s="22"/>
      <c r="B967" s="22"/>
      <c r="C967" s="22"/>
      <c r="D967" s="22"/>
      <c r="K967" s="49"/>
    </row>
    <row r="968" ht="12.0" customHeight="1">
      <c r="A968" s="22"/>
      <c r="B968" s="22"/>
      <c r="C968" s="22"/>
      <c r="D968" s="22"/>
      <c r="K968" s="49"/>
    </row>
    <row r="969" ht="12.0" customHeight="1">
      <c r="A969" s="22"/>
      <c r="B969" s="22"/>
      <c r="C969" s="22"/>
      <c r="D969" s="22"/>
      <c r="K969" s="49"/>
    </row>
    <row r="970" ht="12.0" customHeight="1">
      <c r="A970" s="22"/>
      <c r="B970" s="22"/>
      <c r="C970" s="22"/>
      <c r="D970" s="22"/>
      <c r="K970" s="49"/>
    </row>
    <row r="971" ht="12.0" customHeight="1">
      <c r="A971" s="22"/>
      <c r="B971" s="22"/>
      <c r="C971" s="22"/>
      <c r="D971" s="22"/>
      <c r="K971" s="49"/>
    </row>
    <row r="972" ht="12.0" customHeight="1">
      <c r="A972" s="22"/>
      <c r="B972" s="22"/>
      <c r="C972" s="22"/>
      <c r="D972" s="22"/>
      <c r="K972" s="49"/>
    </row>
    <row r="973" ht="12.0" customHeight="1">
      <c r="A973" s="22"/>
      <c r="B973" s="22"/>
      <c r="C973" s="22"/>
      <c r="D973" s="22"/>
      <c r="K973" s="49"/>
    </row>
    <row r="974" ht="12.0" customHeight="1">
      <c r="A974" s="22"/>
      <c r="B974" s="22"/>
      <c r="C974" s="22"/>
      <c r="D974" s="22"/>
      <c r="K974" s="49"/>
    </row>
    <row r="975" ht="12.0" customHeight="1">
      <c r="A975" s="22"/>
      <c r="B975" s="22"/>
      <c r="C975" s="22"/>
      <c r="D975" s="22"/>
      <c r="K975" s="49"/>
    </row>
    <row r="976" ht="12.0" customHeight="1">
      <c r="A976" s="22"/>
      <c r="B976" s="22"/>
      <c r="C976" s="22"/>
      <c r="D976" s="22"/>
      <c r="K976" s="49"/>
    </row>
    <row r="977" ht="12.0" customHeight="1">
      <c r="A977" s="22"/>
      <c r="B977" s="22"/>
      <c r="C977" s="22"/>
      <c r="D977" s="22"/>
      <c r="K977" s="49"/>
    </row>
    <row r="978" ht="12.0" customHeight="1">
      <c r="A978" s="22"/>
      <c r="B978" s="22"/>
      <c r="C978" s="22"/>
      <c r="D978" s="22"/>
      <c r="K978" s="49"/>
    </row>
    <row r="979" ht="12.0" customHeight="1">
      <c r="A979" s="22"/>
      <c r="B979" s="22"/>
      <c r="C979" s="22"/>
      <c r="D979" s="22"/>
      <c r="K979" s="49"/>
    </row>
    <row r="980" ht="12.0" customHeight="1">
      <c r="A980" s="22"/>
      <c r="B980" s="22"/>
      <c r="C980" s="22"/>
      <c r="D980" s="22"/>
      <c r="K980" s="49"/>
    </row>
    <row r="981" ht="12.0" customHeight="1">
      <c r="A981" s="22"/>
      <c r="B981" s="22"/>
      <c r="C981" s="22"/>
      <c r="D981" s="22"/>
      <c r="K981" s="49"/>
    </row>
    <row r="982" ht="12.0" customHeight="1">
      <c r="A982" s="22"/>
      <c r="B982" s="22"/>
      <c r="C982" s="22"/>
      <c r="D982" s="22"/>
      <c r="K982" s="49"/>
    </row>
    <row r="983" ht="12.0" customHeight="1">
      <c r="A983" s="22"/>
      <c r="B983" s="22"/>
      <c r="C983" s="22"/>
      <c r="D983" s="22"/>
      <c r="K983" s="49"/>
    </row>
    <row r="984" ht="12.0" customHeight="1">
      <c r="A984" s="22"/>
      <c r="B984" s="22"/>
      <c r="C984" s="22"/>
      <c r="D984" s="22"/>
      <c r="K984" s="49"/>
    </row>
    <row r="985" ht="12.0" customHeight="1">
      <c r="A985" s="22"/>
      <c r="B985" s="22"/>
      <c r="C985" s="22"/>
      <c r="D985" s="22"/>
      <c r="K985" s="49"/>
    </row>
    <row r="986" ht="12.0" customHeight="1">
      <c r="A986" s="22"/>
      <c r="B986" s="22"/>
      <c r="C986" s="22"/>
      <c r="D986" s="22"/>
      <c r="K986" s="49"/>
    </row>
    <row r="987" ht="12.0" customHeight="1">
      <c r="A987" s="22"/>
      <c r="B987" s="22"/>
      <c r="C987" s="22"/>
      <c r="D987" s="22"/>
      <c r="K987" s="49"/>
    </row>
    <row r="988" ht="12.0" customHeight="1">
      <c r="A988" s="22"/>
      <c r="B988" s="22"/>
      <c r="C988" s="22"/>
      <c r="D988" s="22"/>
      <c r="K988" s="49"/>
    </row>
    <row r="989" ht="12.0" customHeight="1">
      <c r="A989" s="22"/>
      <c r="B989" s="22"/>
      <c r="C989" s="22"/>
      <c r="D989" s="22"/>
      <c r="K989" s="49"/>
    </row>
    <row r="990" ht="12.0" customHeight="1">
      <c r="A990" s="22"/>
      <c r="B990" s="22"/>
      <c r="C990" s="22"/>
      <c r="D990" s="22"/>
      <c r="K990" s="49"/>
    </row>
    <row r="991" ht="12.0" customHeight="1">
      <c r="A991" s="22"/>
      <c r="B991" s="22"/>
      <c r="C991" s="22"/>
      <c r="D991" s="22"/>
      <c r="K991" s="49"/>
    </row>
    <row r="992" ht="12.0" customHeight="1">
      <c r="A992" s="22"/>
      <c r="B992" s="22"/>
      <c r="C992" s="22"/>
      <c r="D992" s="22"/>
      <c r="K992" s="49"/>
    </row>
    <row r="993" ht="12.0" customHeight="1">
      <c r="A993" s="22"/>
      <c r="B993" s="22"/>
      <c r="C993" s="22"/>
      <c r="D993" s="22"/>
      <c r="K993" s="49"/>
    </row>
    <row r="994" ht="12.0" customHeight="1">
      <c r="A994" s="22"/>
      <c r="B994" s="22"/>
      <c r="C994" s="22"/>
      <c r="D994" s="22"/>
      <c r="K994" s="49"/>
    </row>
    <row r="995" ht="12.0" customHeight="1">
      <c r="A995" s="22"/>
      <c r="B995" s="22"/>
      <c r="C995" s="22"/>
      <c r="D995" s="22"/>
      <c r="K995" s="49"/>
    </row>
    <row r="996" ht="12.0" customHeight="1">
      <c r="A996" s="22"/>
      <c r="B996" s="22"/>
      <c r="C996" s="22"/>
      <c r="D996" s="22"/>
      <c r="K996" s="49"/>
    </row>
    <row r="997" ht="12.0" customHeight="1">
      <c r="A997" s="22"/>
      <c r="B997" s="22"/>
      <c r="C997" s="22"/>
      <c r="D997" s="22"/>
      <c r="K997" s="49"/>
    </row>
    <row r="998" ht="12.0" customHeight="1">
      <c r="A998" s="22"/>
      <c r="B998" s="22"/>
      <c r="C998" s="22"/>
      <c r="D998" s="22"/>
      <c r="K998" s="49"/>
    </row>
    <row r="999" ht="12.0" customHeight="1">
      <c r="A999" s="22"/>
      <c r="B999" s="22"/>
      <c r="C999" s="22"/>
      <c r="D999" s="22"/>
      <c r="K999" s="49"/>
    </row>
    <row r="1000" ht="12.0" customHeight="1">
      <c r="A1000" s="22"/>
      <c r="B1000" s="22"/>
      <c r="C1000" s="22"/>
      <c r="D1000" s="22"/>
      <c r="K1000" s="49"/>
    </row>
    <row r="1001" ht="12.0" customHeight="1">
      <c r="A1001" s="22"/>
      <c r="B1001" s="22"/>
      <c r="C1001" s="22"/>
      <c r="D1001" s="22"/>
      <c r="K1001" s="49"/>
    </row>
    <row r="1002" ht="12.0" customHeight="1">
      <c r="A1002" s="22"/>
      <c r="B1002" s="22"/>
      <c r="C1002" s="22"/>
      <c r="D1002" s="22"/>
      <c r="K1002" s="49"/>
    </row>
    <row r="1003" ht="12.0" customHeight="1">
      <c r="A1003" s="22"/>
      <c r="B1003" s="22"/>
      <c r="C1003" s="22"/>
      <c r="D1003" s="22"/>
      <c r="K1003" s="49"/>
    </row>
    <row r="1004" ht="12.0" customHeight="1">
      <c r="A1004" s="22"/>
      <c r="B1004" s="22"/>
      <c r="C1004" s="22"/>
      <c r="D1004" s="22"/>
      <c r="K1004" s="49"/>
    </row>
    <row r="1005" ht="12.0" customHeight="1">
      <c r="A1005" s="22"/>
      <c r="B1005" s="22"/>
      <c r="C1005" s="22"/>
      <c r="D1005" s="22"/>
      <c r="K1005" s="49"/>
    </row>
    <row r="1006" ht="12.0" customHeight="1">
      <c r="A1006" s="22"/>
      <c r="B1006" s="22"/>
      <c r="C1006" s="22"/>
      <c r="D1006" s="22"/>
      <c r="K1006" s="49"/>
    </row>
    <row r="1007" ht="12.0" customHeight="1">
      <c r="A1007" s="22"/>
      <c r="B1007" s="22"/>
      <c r="C1007" s="22"/>
      <c r="D1007" s="22"/>
      <c r="K1007" s="49"/>
    </row>
    <row r="1008" ht="12.0" customHeight="1">
      <c r="A1008" s="22"/>
      <c r="B1008" s="22"/>
      <c r="C1008" s="22"/>
      <c r="D1008" s="22"/>
      <c r="K1008" s="49"/>
    </row>
    <row r="1009" ht="12.0" customHeight="1">
      <c r="A1009" s="22"/>
      <c r="B1009" s="22"/>
      <c r="C1009" s="22"/>
      <c r="D1009" s="22"/>
      <c r="K1009" s="49"/>
    </row>
    <row r="1010" ht="12.0" customHeight="1">
      <c r="A1010" s="22"/>
      <c r="B1010" s="22"/>
      <c r="C1010" s="22"/>
      <c r="D1010" s="22"/>
      <c r="K1010" s="49"/>
    </row>
    <row r="1011" ht="12.0" customHeight="1">
      <c r="A1011" s="22"/>
      <c r="B1011" s="22"/>
      <c r="C1011" s="22"/>
      <c r="D1011" s="22"/>
      <c r="K1011" s="49"/>
    </row>
    <row r="1012" ht="12.0" customHeight="1">
      <c r="A1012" s="22"/>
      <c r="B1012" s="22"/>
      <c r="C1012" s="22"/>
      <c r="D1012" s="22"/>
      <c r="K1012" s="49"/>
    </row>
    <row r="1013" ht="12.0" customHeight="1">
      <c r="A1013" s="22"/>
      <c r="B1013" s="22"/>
      <c r="C1013" s="22"/>
      <c r="D1013" s="22"/>
      <c r="K1013" s="49"/>
    </row>
    <row r="1014" ht="12.0" customHeight="1">
      <c r="A1014" s="22"/>
      <c r="B1014" s="22"/>
      <c r="C1014" s="22"/>
      <c r="D1014" s="22"/>
      <c r="K1014" s="49"/>
    </row>
    <row r="1015" ht="12.0" customHeight="1">
      <c r="A1015" s="22"/>
      <c r="B1015" s="22"/>
      <c r="C1015" s="22"/>
      <c r="D1015" s="22"/>
      <c r="K1015" s="49"/>
    </row>
    <row r="1016" ht="12.0" customHeight="1">
      <c r="A1016" s="22"/>
      <c r="B1016" s="22"/>
      <c r="C1016" s="22"/>
      <c r="D1016" s="22"/>
      <c r="K1016" s="49"/>
    </row>
    <row r="1017" ht="12.0" customHeight="1">
      <c r="A1017" s="22"/>
      <c r="B1017" s="22"/>
      <c r="C1017" s="22"/>
      <c r="D1017" s="22"/>
      <c r="K1017" s="49"/>
    </row>
    <row r="1018" ht="12.0" customHeight="1">
      <c r="A1018" s="22"/>
      <c r="B1018" s="22"/>
      <c r="C1018" s="22"/>
      <c r="D1018" s="22"/>
      <c r="K1018" s="49"/>
    </row>
    <row r="1019" ht="12.0" customHeight="1">
      <c r="A1019" s="22"/>
      <c r="B1019" s="22"/>
      <c r="C1019" s="22"/>
      <c r="D1019" s="22"/>
      <c r="K1019" s="49"/>
    </row>
    <row r="1020" ht="12.0" customHeight="1">
      <c r="A1020" s="22"/>
      <c r="B1020" s="22"/>
      <c r="C1020" s="22"/>
      <c r="D1020" s="22"/>
      <c r="K1020" s="49"/>
    </row>
  </sheetData>
  <mergeCells count="1">
    <mergeCell ref="A1:K2"/>
  </mergeCell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2.14"/>
    <col customWidth="1" min="2" max="2" width="30.14"/>
    <col customWidth="1" min="3" max="6" width="2.86"/>
    <col customWidth="1" min="7" max="7" width="9.29"/>
    <col customWidth="1" min="8" max="8" width="2.14"/>
    <col customWidth="1" min="9" max="9" width="1.43"/>
    <col customWidth="1" min="10" max="10" width="7.29"/>
    <col customWidth="1" min="11" max="11" width="5.86"/>
    <col customWidth="1" min="12" max="12" width="1.43"/>
    <col customWidth="1" min="13" max="13" width="2.14"/>
    <col customWidth="1" min="14" max="14" width="8.86"/>
    <col customWidth="1" min="15" max="15" width="6.14"/>
    <col customWidth="1" min="16" max="16" width="7.29"/>
    <col customWidth="1" min="17" max="26" width="8.86"/>
  </cols>
  <sheetData>
    <row r="1" ht="12.0" customHeight="1">
      <c r="A1" s="72" t="s">
        <v>3496</v>
      </c>
      <c r="P1" s="73"/>
      <c r="Q1" s="74" t="s">
        <v>3501</v>
      </c>
      <c r="R1" s="75"/>
    </row>
    <row r="2" ht="12.0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P2" s="73"/>
      <c r="Q2" s="76"/>
      <c r="R2" s="75"/>
    </row>
    <row r="3" ht="12.0" customHeight="1">
      <c r="A3" s="22"/>
      <c r="B3" s="22" t="s">
        <v>174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P3" s="73"/>
      <c r="Q3" s="77" t="s">
        <v>3505</v>
      </c>
      <c r="R3" s="75"/>
    </row>
    <row r="4" ht="12.0" customHeight="1">
      <c r="A4" s="22"/>
      <c r="B4" s="22" t="s">
        <v>176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P4" s="73"/>
      <c r="Q4" s="76"/>
      <c r="R4" s="75"/>
    </row>
    <row r="5" ht="12.0" customHeight="1">
      <c r="A5" s="22"/>
      <c r="B5" s="27" t="s">
        <v>174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P5" s="78"/>
    </row>
    <row r="6" ht="12.0" customHeight="1">
      <c r="A6" s="22"/>
      <c r="B6" s="22" t="str">
        <f t="shared" ref="B6:B39" si="1">'Exile INPUT'!C11</f>
        <v>#REF!</v>
      </c>
      <c r="C6" s="22"/>
      <c r="D6" s="22"/>
      <c r="E6" s="22"/>
      <c r="F6" s="22"/>
      <c r="G6" s="27" t="s">
        <v>3512</v>
      </c>
      <c r="H6" s="22" t="str">
        <f t="shared" ref="H6:H39" si="2">'Exile INPUT'!E11</f>
        <v>#REF!</v>
      </c>
      <c r="I6" s="27" t="s">
        <v>3515</v>
      </c>
      <c r="J6" s="27" t="s">
        <v>3516</v>
      </c>
      <c r="K6" s="79" t="str">
        <f t="shared" ref="K6:K39" si="3">'Exile INPUT'!J11</f>
        <v>#REF!</v>
      </c>
      <c r="L6" s="27" t="s">
        <v>3515</v>
      </c>
      <c r="M6" s="27" t="str">
        <f t="shared" ref="M6:M39" si="4">IF(Q6 = 0, "};",CONCATENATE("sellPrice = ",Q6,"; };"))</f>
        <v>};</v>
      </c>
      <c r="P6" s="80"/>
      <c r="Q6" s="6">
        <v>0.0</v>
      </c>
      <c r="R6" s="6"/>
      <c r="S6" s="81" t="s">
        <v>3521</v>
      </c>
    </row>
    <row r="7" ht="12.0" customHeight="1">
      <c r="A7" s="22"/>
      <c r="B7" s="27" t="str">
        <f t="shared" si="1"/>
        <v>#REF!</v>
      </c>
      <c r="C7" s="27"/>
      <c r="D7" s="27"/>
      <c r="E7" s="27"/>
      <c r="F7" s="27"/>
      <c r="G7" s="27" t="s">
        <v>3512</v>
      </c>
      <c r="H7" s="27" t="str">
        <f t="shared" si="2"/>
        <v>#REF!</v>
      </c>
      <c r="I7" s="27" t="s">
        <v>3515</v>
      </c>
      <c r="J7" s="27" t="s">
        <v>3516</v>
      </c>
      <c r="K7" s="79" t="str">
        <f t="shared" si="3"/>
        <v>#REF!</v>
      </c>
      <c r="L7" s="27" t="s">
        <v>3515</v>
      </c>
      <c r="M7" s="27" t="str">
        <f t="shared" si="4"/>
        <v>};</v>
      </c>
      <c r="P7" s="80"/>
      <c r="Q7" s="6">
        <v>0.0</v>
      </c>
      <c r="R7" s="6"/>
    </row>
    <row r="8" ht="12.0" customHeight="1">
      <c r="A8" s="22"/>
      <c r="B8" s="27" t="str">
        <f t="shared" si="1"/>
        <v>#REF!</v>
      </c>
      <c r="C8" s="27"/>
      <c r="D8" s="27"/>
      <c r="E8" s="27"/>
      <c r="F8" s="27"/>
      <c r="G8" s="27" t="s">
        <v>3512</v>
      </c>
      <c r="H8" s="27" t="str">
        <f t="shared" si="2"/>
        <v>#REF!</v>
      </c>
      <c r="I8" s="27" t="s">
        <v>3515</v>
      </c>
      <c r="J8" s="27" t="s">
        <v>3516</v>
      </c>
      <c r="K8" s="79" t="str">
        <f t="shared" si="3"/>
        <v>#REF!</v>
      </c>
      <c r="L8" s="27" t="s">
        <v>3515</v>
      </c>
      <c r="M8" s="27" t="str">
        <f t="shared" si="4"/>
        <v>};</v>
      </c>
      <c r="P8" s="80"/>
      <c r="Q8" s="6">
        <v>0.0</v>
      </c>
    </row>
    <row r="9" ht="12.0" customHeight="1">
      <c r="A9" s="22"/>
      <c r="B9" s="27" t="str">
        <f t="shared" si="1"/>
        <v>#REF!</v>
      </c>
      <c r="C9" s="27"/>
      <c r="D9" s="27"/>
      <c r="E9" s="27"/>
      <c r="F9" s="27"/>
      <c r="G9" s="27" t="s">
        <v>3512</v>
      </c>
      <c r="H9" s="27" t="str">
        <f t="shared" si="2"/>
        <v>#REF!</v>
      </c>
      <c r="I9" s="27" t="s">
        <v>3515</v>
      </c>
      <c r="J9" s="27" t="s">
        <v>3516</v>
      </c>
      <c r="K9" s="79" t="str">
        <f t="shared" si="3"/>
        <v>#REF!</v>
      </c>
      <c r="L9" s="27" t="s">
        <v>3515</v>
      </c>
      <c r="M9" s="27" t="str">
        <f t="shared" si="4"/>
        <v>};</v>
      </c>
      <c r="P9" s="80"/>
      <c r="Q9" s="6">
        <v>0.0</v>
      </c>
    </row>
    <row r="10" ht="12.0" customHeight="1">
      <c r="A10" s="22"/>
      <c r="B10" s="27" t="str">
        <f t="shared" si="1"/>
        <v>#REF!</v>
      </c>
      <c r="C10" s="27"/>
      <c r="D10" s="27"/>
      <c r="E10" s="27"/>
      <c r="F10" s="27"/>
      <c r="G10" s="27" t="s">
        <v>3512</v>
      </c>
      <c r="H10" s="27" t="str">
        <f t="shared" si="2"/>
        <v>#REF!</v>
      </c>
      <c r="I10" s="27" t="s">
        <v>3515</v>
      </c>
      <c r="J10" s="27" t="s">
        <v>3516</v>
      </c>
      <c r="K10" s="79" t="str">
        <f t="shared" si="3"/>
        <v>#REF!</v>
      </c>
      <c r="L10" s="27" t="s">
        <v>3515</v>
      </c>
      <c r="M10" s="27" t="str">
        <f t="shared" si="4"/>
        <v>};</v>
      </c>
      <c r="P10" s="80"/>
      <c r="Q10" s="6">
        <v>0.0</v>
      </c>
    </row>
    <row r="11" ht="12.0" customHeight="1">
      <c r="A11" s="22"/>
      <c r="B11" s="27" t="str">
        <f t="shared" si="1"/>
        <v>#REF!</v>
      </c>
      <c r="C11" s="27"/>
      <c r="D11" s="27"/>
      <c r="E11" s="27"/>
      <c r="F11" s="27"/>
      <c r="G11" s="27" t="s">
        <v>3512</v>
      </c>
      <c r="H11" s="27" t="str">
        <f t="shared" si="2"/>
        <v>#REF!</v>
      </c>
      <c r="I11" s="27" t="s">
        <v>3515</v>
      </c>
      <c r="J11" s="27" t="s">
        <v>3516</v>
      </c>
      <c r="K11" s="79" t="str">
        <f t="shared" si="3"/>
        <v>#REF!</v>
      </c>
      <c r="L11" s="27" t="s">
        <v>3515</v>
      </c>
      <c r="M11" s="27" t="str">
        <f t="shared" si="4"/>
        <v>};</v>
      </c>
      <c r="P11" s="80"/>
      <c r="Q11" s="6">
        <v>0.0</v>
      </c>
    </row>
    <row r="12" ht="12.0" customHeight="1">
      <c r="A12" s="22"/>
      <c r="B12" s="27" t="str">
        <f t="shared" si="1"/>
        <v>#REF!</v>
      </c>
      <c r="C12" s="27"/>
      <c r="D12" s="27"/>
      <c r="E12" s="27"/>
      <c r="F12" s="27"/>
      <c r="G12" s="27" t="s">
        <v>3512</v>
      </c>
      <c r="H12" s="27" t="str">
        <f t="shared" si="2"/>
        <v>#REF!</v>
      </c>
      <c r="I12" s="27" t="s">
        <v>3515</v>
      </c>
      <c r="J12" s="27" t="s">
        <v>3516</v>
      </c>
      <c r="K12" s="79" t="str">
        <f t="shared" si="3"/>
        <v>#REF!</v>
      </c>
      <c r="L12" s="27" t="s">
        <v>3515</v>
      </c>
      <c r="M12" s="27" t="str">
        <f t="shared" si="4"/>
        <v>};</v>
      </c>
      <c r="P12" s="80"/>
      <c r="Q12" s="6">
        <v>0.0</v>
      </c>
      <c r="U12" s="6" t="s">
        <v>3533</v>
      </c>
      <c r="X12" s="82">
        <v>0.1</v>
      </c>
    </row>
    <row r="13" ht="12.0" customHeight="1">
      <c r="A13" s="22"/>
      <c r="B13" s="27" t="str">
        <f t="shared" si="1"/>
        <v>#REF!</v>
      </c>
      <c r="C13" s="27"/>
      <c r="D13" s="27"/>
      <c r="E13" s="27"/>
      <c r="F13" s="27"/>
      <c r="G13" s="27" t="s">
        <v>3512</v>
      </c>
      <c r="H13" s="27" t="str">
        <f t="shared" si="2"/>
        <v>#REF!</v>
      </c>
      <c r="I13" s="27" t="s">
        <v>3515</v>
      </c>
      <c r="J13" s="27" t="s">
        <v>3516</v>
      </c>
      <c r="K13" s="79" t="str">
        <f t="shared" si="3"/>
        <v>#REF!</v>
      </c>
      <c r="L13" s="27" t="s">
        <v>3515</v>
      </c>
      <c r="M13" s="27" t="str">
        <f t="shared" si="4"/>
        <v>};</v>
      </c>
      <c r="P13" s="80"/>
      <c r="Q13" s="6">
        <v>0.0</v>
      </c>
    </row>
    <row r="14" ht="12.0" customHeight="1">
      <c r="A14" s="22"/>
      <c r="B14" s="27" t="str">
        <f t="shared" si="1"/>
        <v>#REF!</v>
      </c>
      <c r="C14" s="27"/>
      <c r="D14" s="27"/>
      <c r="E14" s="27"/>
      <c r="F14" s="27"/>
      <c r="G14" s="27" t="s">
        <v>3512</v>
      </c>
      <c r="H14" s="27" t="str">
        <f t="shared" si="2"/>
        <v>#REF!</v>
      </c>
      <c r="I14" s="27" t="s">
        <v>3515</v>
      </c>
      <c r="J14" s="27" t="s">
        <v>3516</v>
      </c>
      <c r="K14" s="79" t="str">
        <f t="shared" si="3"/>
        <v>#REF!</v>
      </c>
      <c r="L14" s="27" t="s">
        <v>3515</v>
      </c>
      <c r="M14" s="27" t="str">
        <f t="shared" si="4"/>
        <v>};</v>
      </c>
      <c r="P14" s="80"/>
      <c r="Q14" s="6">
        <v>0.0</v>
      </c>
    </row>
    <row r="15" ht="12.0" customHeight="1">
      <c r="A15" s="22"/>
      <c r="B15" s="27" t="str">
        <f t="shared" si="1"/>
        <v>#REF!</v>
      </c>
      <c r="C15" s="27"/>
      <c r="D15" s="27"/>
      <c r="E15" s="27"/>
      <c r="F15" s="27"/>
      <c r="G15" s="27" t="s">
        <v>3512</v>
      </c>
      <c r="H15" s="27" t="str">
        <f t="shared" si="2"/>
        <v>#REF!</v>
      </c>
      <c r="I15" s="27" t="s">
        <v>3515</v>
      </c>
      <c r="J15" s="27" t="s">
        <v>3516</v>
      </c>
      <c r="K15" s="79" t="str">
        <f t="shared" si="3"/>
        <v>#REF!</v>
      </c>
      <c r="L15" s="27" t="s">
        <v>3515</v>
      </c>
      <c r="M15" s="27" t="str">
        <f t="shared" si="4"/>
        <v>};</v>
      </c>
      <c r="P15" s="80"/>
      <c r="Q15" s="6">
        <v>0.0</v>
      </c>
    </row>
    <row r="16" ht="12.0" customHeight="1">
      <c r="A16" s="22"/>
      <c r="B16" s="27" t="str">
        <f t="shared" si="1"/>
        <v>#REF!</v>
      </c>
      <c r="C16" s="27"/>
      <c r="D16" s="27"/>
      <c r="E16" s="27"/>
      <c r="F16" s="27"/>
      <c r="G16" s="27" t="s">
        <v>3512</v>
      </c>
      <c r="H16" s="27" t="str">
        <f t="shared" si="2"/>
        <v>#REF!</v>
      </c>
      <c r="I16" s="27" t="s">
        <v>3515</v>
      </c>
      <c r="J16" s="27" t="s">
        <v>3516</v>
      </c>
      <c r="K16" s="79" t="str">
        <f t="shared" si="3"/>
        <v>#REF!</v>
      </c>
      <c r="L16" s="27" t="s">
        <v>3515</v>
      </c>
      <c r="M16" s="27" t="str">
        <f t="shared" si="4"/>
        <v>};</v>
      </c>
      <c r="P16" s="80"/>
      <c r="Q16" s="6">
        <v>0.0</v>
      </c>
    </row>
    <row r="17" ht="12.0" customHeight="1">
      <c r="A17" s="22"/>
      <c r="B17" s="27" t="str">
        <f t="shared" si="1"/>
        <v>#REF!</v>
      </c>
      <c r="C17" s="27"/>
      <c r="D17" s="27"/>
      <c r="E17" s="27"/>
      <c r="F17" s="27"/>
      <c r="G17" s="27" t="s">
        <v>3512</v>
      </c>
      <c r="H17" s="27" t="str">
        <f t="shared" si="2"/>
        <v>#REF!</v>
      </c>
      <c r="I17" s="27" t="s">
        <v>3515</v>
      </c>
      <c r="J17" s="27" t="s">
        <v>3516</v>
      </c>
      <c r="K17" s="79" t="str">
        <f t="shared" si="3"/>
        <v>#REF!</v>
      </c>
      <c r="L17" s="27" t="s">
        <v>3515</v>
      </c>
      <c r="M17" s="27" t="str">
        <f t="shared" si="4"/>
        <v>};</v>
      </c>
      <c r="P17" s="80"/>
      <c r="Q17" s="6">
        <v>0.0</v>
      </c>
    </row>
    <row r="18" ht="12.0" customHeight="1">
      <c r="A18" s="22"/>
      <c r="B18" s="27" t="str">
        <f t="shared" si="1"/>
        <v>#REF!</v>
      </c>
      <c r="C18" s="27"/>
      <c r="D18" s="27"/>
      <c r="E18" s="27"/>
      <c r="F18" s="27"/>
      <c r="G18" s="27" t="s">
        <v>3512</v>
      </c>
      <c r="H18" s="27" t="str">
        <f t="shared" si="2"/>
        <v>#REF!</v>
      </c>
      <c r="I18" s="27" t="s">
        <v>3515</v>
      </c>
      <c r="J18" s="27" t="s">
        <v>3516</v>
      </c>
      <c r="K18" s="79" t="str">
        <f t="shared" si="3"/>
        <v>#REF!</v>
      </c>
      <c r="L18" s="27" t="s">
        <v>3515</v>
      </c>
      <c r="M18" s="27" t="str">
        <f t="shared" si="4"/>
        <v>};</v>
      </c>
      <c r="P18" s="80"/>
      <c r="Q18" s="6">
        <v>0.0</v>
      </c>
    </row>
    <row r="19" ht="12.0" customHeight="1">
      <c r="A19" s="22"/>
      <c r="B19" s="27" t="str">
        <f t="shared" si="1"/>
        <v>#REF!</v>
      </c>
      <c r="C19" s="27"/>
      <c r="D19" s="27"/>
      <c r="E19" s="27"/>
      <c r="F19" s="27"/>
      <c r="G19" s="27" t="s">
        <v>3512</v>
      </c>
      <c r="H19" s="27" t="str">
        <f t="shared" si="2"/>
        <v>#REF!</v>
      </c>
      <c r="I19" s="27" t="s">
        <v>3515</v>
      </c>
      <c r="J19" s="27" t="s">
        <v>3516</v>
      </c>
      <c r="K19" s="79" t="str">
        <f t="shared" si="3"/>
        <v>#REF!</v>
      </c>
      <c r="L19" s="27" t="s">
        <v>3515</v>
      </c>
      <c r="M19" s="27" t="str">
        <f t="shared" si="4"/>
        <v>};</v>
      </c>
      <c r="P19" s="80"/>
      <c r="Q19" s="6">
        <v>0.0</v>
      </c>
    </row>
    <row r="20" ht="12.0" customHeight="1">
      <c r="A20" s="22"/>
      <c r="B20" s="27" t="str">
        <f t="shared" si="1"/>
        <v>#REF!</v>
      </c>
      <c r="C20" s="27"/>
      <c r="D20" s="27"/>
      <c r="E20" s="27"/>
      <c r="F20" s="27"/>
      <c r="G20" s="27" t="s">
        <v>3512</v>
      </c>
      <c r="H20" s="27" t="str">
        <f t="shared" si="2"/>
        <v>#REF!</v>
      </c>
      <c r="I20" s="27" t="s">
        <v>3515</v>
      </c>
      <c r="J20" s="27" t="s">
        <v>3516</v>
      </c>
      <c r="K20" s="79" t="str">
        <f t="shared" si="3"/>
        <v>#REF!</v>
      </c>
      <c r="L20" s="27" t="s">
        <v>3515</v>
      </c>
      <c r="M20" s="27" t="str">
        <f t="shared" si="4"/>
        <v>};</v>
      </c>
      <c r="P20" s="80"/>
      <c r="Q20" s="6">
        <v>0.0</v>
      </c>
    </row>
    <row r="21" ht="12.0" customHeight="1">
      <c r="A21" s="22"/>
      <c r="B21" s="27" t="str">
        <f t="shared" si="1"/>
        <v>#REF!</v>
      </c>
      <c r="C21" s="27"/>
      <c r="D21" s="27"/>
      <c r="E21" s="27"/>
      <c r="F21" s="27"/>
      <c r="G21" s="27" t="s">
        <v>3512</v>
      </c>
      <c r="H21" s="27" t="str">
        <f t="shared" si="2"/>
        <v>#REF!</v>
      </c>
      <c r="I21" s="27" t="s">
        <v>3515</v>
      </c>
      <c r="J21" s="27" t="s">
        <v>3516</v>
      </c>
      <c r="K21" s="79" t="str">
        <f t="shared" si="3"/>
        <v>#REF!</v>
      </c>
      <c r="L21" s="27" t="s">
        <v>3515</v>
      </c>
      <c r="M21" s="27" t="str">
        <f t="shared" si="4"/>
        <v>};</v>
      </c>
      <c r="P21" s="80"/>
      <c r="Q21" s="6">
        <v>0.0</v>
      </c>
    </row>
    <row r="22" ht="12.0" customHeight="1">
      <c r="A22" s="22"/>
      <c r="B22" s="27" t="str">
        <f t="shared" si="1"/>
        <v>#REF!</v>
      </c>
      <c r="C22" s="27"/>
      <c r="D22" s="27"/>
      <c r="E22" s="27"/>
      <c r="F22" s="27"/>
      <c r="G22" s="27" t="s">
        <v>3512</v>
      </c>
      <c r="H22" s="27" t="str">
        <f t="shared" si="2"/>
        <v>#REF!</v>
      </c>
      <c r="I22" s="27" t="s">
        <v>3515</v>
      </c>
      <c r="J22" s="27" t="s">
        <v>3516</v>
      </c>
      <c r="K22" s="79" t="str">
        <f t="shared" si="3"/>
        <v>#REF!</v>
      </c>
      <c r="L22" s="27" t="s">
        <v>3515</v>
      </c>
      <c r="M22" s="27" t="str">
        <f t="shared" si="4"/>
        <v>};</v>
      </c>
      <c r="P22" s="80"/>
      <c r="Q22" s="6">
        <v>0.0</v>
      </c>
    </row>
    <row r="23" ht="12.0" customHeight="1">
      <c r="A23" s="22"/>
      <c r="B23" s="27" t="str">
        <f t="shared" si="1"/>
        <v>#REF!</v>
      </c>
      <c r="C23" s="27"/>
      <c r="D23" s="27"/>
      <c r="E23" s="27"/>
      <c r="F23" s="27"/>
      <c r="G23" s="27" t="s">
        <v>3512</v>
      </c>
      <c r="H23" s="27" t="str">
        <f t="shared" si="2"/>
        <v>#REF!</v>
      </c>
      <c r="I23" s="27" t="s">
        <v>3515</v>
      </c>
      <c r="J23" s="27" t="s">
        <v>3516</v>
      </c>
      <c r="K23" s="79" t="str">
        <f t="shared" si="3"/>
        <v>#REF!</v>
      </c>
      <c r="L23" s="27" t="s">
        <v>3515</v>
      </c>
      <c r="M23" s="27" t="str">
        <f t="shared" si="4"/>
        <v>};</v>
      </c>
      <c r="P23" s="80"/>
      <c r="Q23" s="6">
        <v>0.0</v>
      </c>
    </row>
    <row r="24" ht="12.0" customHeight="1">
      <c r="A24" s="22"/>
      <c r="B24" s="27" t="str">
        <f t="shared" si="1"/>
        <v>#REF!</v>
      </c>
      <c r="C24" s="27"/>
      <c r="D24" s="27"/>
      <c r="E24" s="27"/>
      <c r="F24" s="27"/>
      <c r="G24" s="27" t="s">
        <v>3512</v>
      </c>
      <c r="H24" s="27" t="str">
        <f t="shared" si="2"/>
        <v>#REF!</v>
      </c>
      <c r="I24" s="27" t="s">
        <v>3515</v>
      </c>
      <c r="J24" s="27" t="s">
        <v>3516</v>
      </c>
      <c r="K24" s="79" t="str">
        <f t="shared" si="3"/>
        <v>#REF!</v>
      </c>
      <c r="L24" s="27" t="s">
        <v>3515</v>
      </c>
      <c r="M24" s="27" t="str">
        <f t="shared" si="4"/>
        <v>};</v>
      </c>
      <c r="P24" s="80"/>
      <c r="Q24" s="6">
        <v>0.0</v>
      </c>
    </row>
    <row r="25" ht="12.0" customHeight="1">
      <c r="A25" s="22"/>
      <c r="B25" s="27" t="str">
        <f t="shared" si="1"/>
        <v>#REF!</v>
      </c>
      <c r="C25" s="27"/>
      <c r="D25" s="27"/>
      <c r="E25" s="27"/>
      <c r="F25" s="27"/>
      <c r="G25" s="27" t="s">
        <v>3512</v>
      </c>
      <c r="H25" s="27" t="str">
        <f t="shared" si="2"/>
        <v>#REF!</v>
      </c>
      <c r="I25" s="27" t="s">
        <v>3515</v>
      </c>
      <c r="J25" s="27" t="s">
        <v>3516</v>
      </c>
      <c r="K25" s="79" t="str">
        <f t="shared" si="3"/>
        <v>#REF!</v>
      </c>
      <c r="L25" s="27" t="s">
        <v>3515</v>
      </c>
      <c r="M25" s="27" t="str">
        <f t="shared" si="4"/>
        <v>};</v>
      </c>
      <c r="P25" s="80"/>
      <c r="Q25" s="6">
        <v>0.0</v>
      </c>
    </row>
    <row r="26" ht="12.0" customHeight="1">
      <c r="A26" s="22"/>
      <c r="B26" s="27" t="str">
        <f t="shared" si="1"/>
        <v>#REF!</v>
      </c>
      <c r="C26" s="27"/>
      <c r="D26" s="27"/>
      <c r="E26" s="27"/>
      <c r="F26" s="27"/>
      <c r="G26" s="27" t="s">
        <v>3512</v>
      </c>
      <c r="H26" s="27" t="str">
        <f t="shared" si="2"/>
        <v>#REF!</v>
      </c>
      <c r="I26" s="27" t="s">
        <v>3515</v>
      </c>
      <c r="J26" s="27" t="s">
        <v>3516</v>
      </c>
      <c r="K26" s="79" t="str">
        <f t="shared" si="3"/>
        <v>#REF!</v>
      </c>
      <c r="L26" s="27" t="s">
        <v>3515</v>
      </c>
      <c r="M26" s="27" t="str">
        <f t="shared" si="4"/>
        <v>};</v>
      </c>
      <c r="P26" s="80"/>
      <c r="Q26" s="6">
        <v>0.0</v>
      </c>
    </row>
    <row r="27" ht="12.0" customHeight="1">
      <c r="A27" s="22"/>
      <c r="B27" s="27" t="str">
        <f t="shared" si="1"/>
        <v>#REF!</v>
      </c>
      <c r="C27" s="27"/>
      <c r="D27" s="27"/>
      <c r="E27" s="27"/>
      <c r="F27" s="27"/>
      <c r="G27" s="27" t="s">
        <v>3512</v>
      </c>
      <c r="H27" s="27" t="str">
        <f t="shared" si="2"/>
        <v>#REF!</v>
      </c>
      <c r="I27" s="27" t="s">
        <v>3515</v>
      </c>
      <c r="J27" s="27" t="s">
        <v>3516</v>
      </c>
      <c r="K27" s="79" t="str">
        <f t="shared" si="3"/>
        <v>#REF!</v>
      </c>
      <c r="L27" s="27" t="s">
        <v>3515</v>
      </c>
      <c r="M27" s="27" t="str">
        <f t="shared" si="4"/>
        <v>};</v>
      </c>
      <c r="P27" s="80"/>
      <c r="Q27" s="6">
        <v>0.0</v>
      </c>
    </row>
    <row r="28" ht="12.0" customHeight="1">
      <c r="A28" s="22"/>
      <c r="B28" s="27" t="str">
        <f t="shared" si="1"/>
        <v>#REF!</v>
      </c>
      <c r="C28" s="27"/>
      <c r="D28" s="27"/>
      <c r="E28" s="27"/>
      <c r="F28" s="27"/>
      <c r="G28" s="27" t="s">
        <v>3512</v>
      </c>
      <c r="H28" s="27" t="str">
        <f t="shared" si="2"/>
        <v>#REF!</v>
      </c>
      <c r="I28" s="27" t="s">
        <v>3515</v>
      </c>
      <c r="J28" s="27" t="s">
        <v>3516</v>
      </c>
      <c r="K28" s="79" t="str">
        <f t="shared" si="3"/>
        <v>#REF!</v>
      </c>
      <c r="L28" s="27" t="s">
        <v>3515</v>
      </c>
      <c r="M28" s="27" t="str">
        <f t="shared" si="4"/>
        <v>};</v>
      </c>
      <c r="P28" s="80"/>
      <c r="Q28" s="6">
        <v>0.0</v>
      </c>
    </row>
    <row r="29" ht="12.0" customHeight="1">
      <c r="A29" s="22"/>
      <c r="B29" s="27" t="str">
        <f t="shared" si="1"/>
        <v>#REF!</v>
      </c>
      <c r="C29" s="27"/>
      <c r="D29" s="27"/>
      <c r="E29" s="27"/>
      <c r="F29" s="27"/>
      <c r="G29" s="27" t="s">
        <v>3512</v>
      </c>
      <c r="H29" s="27" t="str">
        <f t="shared" si="2"/>
        <v>#REF!</v>
      </c>
      <c r="I29" s="27" t="s">
        <v>3515</v>
      </c>
      <c r="J29" s="27" t="s">
        <v>3516</v>
      </c>
      <c r="K29" s="79" t="str">
        <f t="shared" si="3"/>
        <v>#REF!</v>
      </c>
      <c r="L29" s="27" t="s">
        <v>3515</v>
      </c>
      <c r="M29" s="27" t="str">
        <f t="shared" si="4"/>
        <v>};</v>
      </c>
      <c r="P29" s="80"/>
      <c r="Q29" s="6">
        <v>0.0</v>
      </c>
    </row>
    <row r="30" ht="12.0" customHeight="1">
      <c r="A30" s="22"/>
      <c r="B30" s="27" t="str">
        <f t="shared" si="1"/>
        <v>#REF!</v>
      </c>
      <c r="C30" s="27"/>
      <c r="D30" s="27"/>
      <c r="E30" s="27"/>
      <c r="F30" s="27"/>
      <c r="G30" s="27" t="s">
        <v>3512</v>
      </c>
      <c r="H30" s="27" t="str">
        <f t="shared" si="2"/>
        <v>#REF!</v>
      </c>
      <c r="I30" s="27" t="s">
        <v>3515</v>
      </c>
      <c r="J30" s="27" t="s">
        <v>3516</v>
      </c>
      <c r="K30" s="79" t="str">
        <f t="shared" si="3"/>
        <v>#REF!</v>
      </c>
      <c r="L30" s="27" t="s">
        <v>3515</v>
      </c>
      <c r="M30" s="27" t="str">
        <f t="shared" si="4"/>
        <v>};</v>
      </c>
      <c r="P30" s="80"/>
      <c r="Q30" s="6">
        <v>0.0</v>
      </c>
    </row>
    <row r="31" ht="12.0" customHeight="1">
      <c r="A31" s="22"/>
      <c r="B31" s="27" t="str">
        <f t="shared" si="1"/>
        <v>#REF!</v>
      </c>
      <c r="C31" s="27"/>
      <c r="D31" s="27"/>
      <c r="E31" s="27"/>
      <c r="F31" s="27"/>
      <c r="G31" s="27" t="s">
        <v>3512</v>
      </c>
      <c r="H31" s="27" t="str">
        <f t="shared" si="2"/>
        <v>#REF!</v>
      </c>
      <c r="I31" s="27" t="s">
        <v>3515</v>
      </c>
      <c r="J31" s="27" t="s">
        <v>3516</v>
      </c>
      <c r="K31" s="79" t="str">
        <f t="shared" si="3"/>
        <v>#REF!</v>
      </c>
      <c r="L31" s="27" t="s">
        <v>3515</v>
      </c>
      <c r="M31" s="27" t="str">
        <f t="shared" si="4"/>
        <v>};</v>
      </c>
      <c r="P31" s="80"/>
      <c r="Q31" s="6">
        <v>0.0</v>
      </c>
    </row>
    <row r="32" ht="12.0" customHeight="1">
      <c r="A32" s="22"/>
      <c r="B32" s="27" t="str">
        <f t="shared" si="1"/>
        <v>#REF!</v>
      </c>
      <c r="C32" s="27"/>
      <c r="D32" s="27"/>
      <c r="E32" s="27"/>
      <c r="F32" s="27"/>
      <c r="G32" s="27" t="s">
        <v>3512</v>
      </c>
      <c r="H32" s="27" t="str">
        <f t="shared" si="2"/>
        <v>#REF!</v>
      </c>
      <c r="I32" s="27" t="s">
        <v>3515</v>
      </c>
      <c r="J32" s="27" t="s">
        <v>3516</v>
      </c>
      <c r="K32" s="79" t="str">
        <f t="shared" si="3"/>
        <v>#REF!</v>
      </c>
      <c r="L32" s="27" t="s">
        <v>3515</v>
      </c>
      <c r="M32" s="27" t="str">
        <f t="shared" si="4"/>
        <v>};</v>
      </c>
      <c r="P32" s="80"/>
      <c r="Q32" s="6">
        <v>0.0</v>
      </c>
    </row>
    <row r="33" ht="12.0" customHeight="1">
      <c r="A33" s="22"/>
      <c r="B33" s="27" t="str">
        <f t="shared" si="1"/>
        <v>#REF!</v>
      </c>
      <c r="C33" s="27"/>
      <c r="D33" s="27"/>
      <c r="E33" s="27"/>
      <c r="F33" s="27"/>
      <c r="G33" s="27" t="s">
        <v>3512</v>
      </c>
      <c r="H33" s="27" t="str">
        <f t="shared" si="2"/>
        <v>#REF!</v>
      </c>
      <c r="I33" s="27" t="s">
        <v>3515</v>
      </c>
      <c r="J33" s="27" t="s">
        <v>3516</v>
      </c>
      <c r="K33" s="79" t="str">
        <f t="shared" si="3"/>
        <v>#REF!</v>
      </c>
      <c r="L33" s="27" t="s">
        <v>3515</v>
      </c>
      <c r="M33" s="27" t="str">
        <f t="shared" si="4"/>
        <v>};</v>
      </c>
      <c r="P33" s="80"/>
      <c r="Q33" s="6">
        <v>0.0</v>
      </c>
    </row>
    <row r="34" ht="12.0" customHeight="1">
      <c r="A34" s="22"/>
      <c r="B34" s="27" t="str">
        <f t="shared" si="1"/>
        <v>#REF!</v>
      </c>
      <c r="C34" s="27"/>
      <c r="D34" s="27"/>
      <c r="E34" s="27"/>
      <c r="F34" s="27"/>
      <c r="G34" s="27" t="s">
        <v>3512</v>
      </c>
      <c r="H34" s="27" t="str">
        <f t="shared" si="2"/>
        <v>#REF!</v>
      </c>
      <c r="I34" s="27" t="s">
        <v>3515</v>
      </c>
      <c r="J34" s="27" t="s">
        <v>3516</v>
      </c>
      <c r="K34" s="79" t="str">
        <f t="shared" si="3"/>
        <v>#REF!</v>
      </c>
      <c r="L34" s="27" t="s">
        <v>3515</v>
      </c>
      <c r="M34" s="27" t="str">
        <f t="shared" si="4"/>
        <v>};</v>
      </c>
      <c r="P34" s="80"/>
      <c r="Q34" s="6">
        <v>0.0</v>
      </c>
    </row>
    <row r="35" ht="12.0" customHeight="1">
      <c r="A35" s="22"/>
      <c r="B35" s="27" t="str">
        <f t="shared" si="1"/>
        <v>#REF!</v>
      </c>
      <c r="C35" s="27"/>
      <c r="D35" s="27"/>
      <c r="E35" s="27"/>
      <c r="F35" s="27"/>
      <c r="G35" s="27" t="s">
        <v>3512</v>
      </c>
      <c r="H35" s="27" t="str">
        <f t="shared" si="2"/>
        <v>#REF!</v>
      </c>
      <c r="I35" s="27" t="s">
        <v>3515</v>
      </c>
      <c r="J35" s="27" t="s">
        <v>3516</v>
      </c>
      <c r="K35" s="79" t="str">
        <f t="shared" si="3"/>
        <v>#REF!</v>
      </c>
      <c r="L35" s="27" t="s">
        <v>3515</v>
      </c>
      <c r="M35" s="27" t="str">
        <f t="shared" si="4"/>
        <v>};</v>
      </c>
      <c r="P35" s="80"/>
      <c r="Q35" s="6">
        <v>0.0</v>
      </c>
    </row>
    <row r="36" ht="12.0" customHeight="1">
      <c r="A36" s="22"/>
      <c r="B36" s="27" t="str">
        <f t="shared" si="1"/>
        <v>#REF!</v>
      </c>
      <c r="C36" s="27"/>
      <c r="D36" s="27"/>
      <c r="E36" s="27"/>
      <c r="F36" s="27"/>
      <c r="G36" s="27" t="s">
        <v>3512</v>
      </c>
      <c r="H36" s="27" t="str">
        <f t="shared" si="2"/>
        <v>#REF!</v>
      </c>
      <c r="I36" s="27" t="s">
        <v>3515</v>
      </c>
      <c r="J36" s="27" t="s">
        <v>3516</v>
      </c>
      <c r="K36" s="79" t="str">
        <f t="shared" si="3"/>
        <v>#REF!</v>
      </c>
      <c r="L36" s="27" t="s">
        <v>3515</v>
      </c>
      <c r="M36" s="27" t="str">
        <f t="shared" si="4"/>
        <v>};</v>
      </c>
      <c r="P36" s="80"/>
      <c r="Q36" s="6">
        <v>0.0</v>
      </c>
    </row>
    <row r="37" ht="12.0" customHeight="1">
      <c r="A37" s="22"/>
      <c r="B37" s="27" t="str">
        <f t="shared" si="1"/>
        <v>#REF!</v>
      </c>
      <c r="C37" s="27"/>
      <c r="D37" s="27"/>
      <c r="E37" s="27"/>
      <c r="F37" s="27"/>
      <c r="G37" s="27" t="s">
        <v>3512</v>
      </c>
      <c r="H37" s="27" t="str">
        <f t="shared" si="2"/>
        <v>#REF!</v>
      </c>
      <c r="I37" s="27" t="s">
        <v>3515</v>
      </c>
      <c r="J37" s="27" t="s">
        <v>3516</v>
      </c>
      <c r="K37" s="79" t="str">
        <f t="shared" si="3"/>
        <v>#REF!</v>
      </c>
      <c r="L37" s="27" t="s">
        <v>3515</v>
      </c>
      <c r="M37" s="27" t="str">
        <f t="shared" si="4"/>
        <v>};</v>
      </c>
      <c r="P37" s="80"/>
      <c r="Q37" s="6">
        <v>0.0</v>
      </c>
    </row>
    <row r="38" ht="12.0" customHeight="1">
      <c r="A38" s="22"/>
      <c r="B38" s="27" t="str">
        <f t="shared" si="1"/>
        <v>#REF!</v>
      </c>
      <c r="C38" s="27"/>
      <c r="D38" s="27"/>
      <c r="E38" s="27"/>
      <c r="F38" s="27"/>
      <c r="G38" s="27" t="s">
        <v>3512</v>
      </c>
      <c r="H38" s="27" t="str">
        <f t="shared" si="2"/>
        <v>#REF!</v>
      </c>
      <c r="I38" s="27" t="s">
        <v>3515</v>
      </c>
      <c r="J38" s="27" t="s">
        <v>3516</v>
      </c>
      <c r="K38" s="79" t="str">
        <f t="shared" si="3"/>
        <v>#REF!</v>
      </c>
      <c r="L38" s="27" t="s">
        <v>3515</v>
      </c>
      <c r="M38" s="27" t="str">
        <f t="shared" si="4"/>
        <v>};</v>
      </c>
      <c r="P38" s="80"/>
      <c r="Q38" s="6">
        <v>0.0</v>
      </c>
    </row>
    <row r="39" ht="12.0" customHeight="1">
      <c r="A39" s="22"/>
      <c r="B39" s="27" t="str">
        <f t="shared" si="1"/>
        <v>#REF!</v>
      </c>
      <c r="C39" s="27"/>
      <c r="D39" s="27"/>
      <c r="E39" s="27"/>
      <c r="F39" s="27"/>
      <c r="G39" s="27" t="s">
        <v>3512</v>
      </c>
      <c r="H39" s="27" t="str">
        <f t="shared" si="2"/>
        <v>#REF!</v>
      </c>
      <c r="I39" s="27" t="s">
        <v>3515</v>
      </c>
      <c r="J39" s="27" t="s">
        <v>3516</v>
      </c>
      <c r="K39" s="79" t="str">
        <f t="shared" si="3"/>
        <v>#REF!</v>
      </c>
      <c r="L39" s="27" t="s">
        <v>3515</v>
      </c>
      <c r="M39" s="27" t="str">
        <f t="shared" si="4"/>
        <v>};</v>
      </c>
      <c r="P39" s="80"/>
      <c r="Q39" s="6">
        <v>0.0</v>
      </c>
    </row>
    <row r="40" ht="12.0" customHeight="1">
      <c r="A40" s="22"/>
      <c r="B40" s="27"/>
      <c r="C40" s="27"/>
      <c r="D40" s="27"/>
      <c r="E40" s="27"/>
      <c r="F40" s="27"/>
      <c r="G40" s="27"/>
      <c r="H40" s="27"/>
      <c r="I40" s="27"/>
      <c r="J40" s="27"/>
      <c r="K40" s="79"/>
      <c r="L40" s="27"/>
      <c r="M40" s="27"/>
      <c r="P40" s="78"/>
    </row>
    <row r="41" ht="12.0" customHeight="1">
      <c r="A41" s="22"/>
      <c r="B41" s="27" t="s">
        <v>174</v>
      </c>
      <c r="C41" s="27"/>
      <c r="D41" s="27"/>
      <c r="E41" s="27"/>
      <c r="F41" s="27"/>
      <c r="G41" s="27"/>
      <c r="H41" s="27"/>
      <c r="I41" s="27"/>
      <c r="J41" s="27"/>
      <c r="K41" s="79"/>
      <c r="L41" s="27"/>
      <c r="M41" s="27"/>
      <c r="P41" s="78"/>
    </row>
    <row r="42" ht="12.0" customHeight="1">
      <c r="A42" s="22"/>
      <c r="B42" s="27" t="s">
        <v>242</v>
      </c>
      <c r="C42" s="27"/>
      <c r="D42" s="27"/>
      <c r="E42" s="27"/>
      <c r="F42" s="27"/>
      <c r="G42" s="27"/>
      <c r="H42" s="27"/>
      <c r="I42" s="27"/>
      <c r="J42" s="27"/>
      <c r="K42" s="79"/>
      <c r="L42" s="27"/>
      <c r="M42" s="27"/>
      <c r="P42" s="78"/>
    </row>
    <row r="43" ht="12.0" customHeight="1">
      <c r="A43" s="22"/>
      <c r="B43" s="27" t="s">
        <v>174</v>
      </c>
      <c r="C43" s="27"/>
      <c r="D43" s="27"/>
      <c r="E43" s="27"/>
      <c r="F43" s="27"/>
      <c r="G43" s="27"/>
      <c r="H43" s="27"/>
      <c r="I43" s="27"/>
      <c r="J43" s="27"/>
      <c r="K43" s="79"/>
      <c r="L43" s="27"/>
      <c r="M43" s="27"/>
      <c r="P43" s="78"/>
    </row>
    <row r="44" ht="12.0" customHeight="1">
      <c r="A44" s="22"/>
      <c r="B44" s="27" t="str">
        <f t="shared" ref="B44:B85" si="5">'Exile INPUT'!C49</f>
        <v>#REF!</v>
      </c>
      <c r="C44" s="27"/>
      <c r="D44" s="27"/>
      <c r="E44" s="27"/>
      <c r="F44" s="27"/>
      <c r="G44" s="27" t="s">
        <v>3512</v>
      </c>
      <c r="H44" s="27" t="str">
        <f t="shared" ref="H44:H85" si="6">'Exile INPUT'!F49</f>
        <v>#REF!</v>
      </c>
      <c r="I44" s="27" t="s">
        <v>3515</v>
      </c>
      <c r="J44" s="27" t="s">
        <v>3516</v>
      </c>
      <c r="K44" s="79" t="str">
        <f t="shared" ref="K44:K85" si="7">'Exile INPUT'!J49</f>
        <v>#REF!</v>
      </c>
      <c r="L44" s="27" t="s">
        <v>3515</v>
      </c>
      <c r="M44" s="27" t="str">
        <f t="shared" ref="M44:M85" si="8">IF(Q44 = 0, "};",CONCATENATE("sellPrice = ",Q44,"; };"))</f>
        <v>};</v>
      </c>
      <c r="P44" s="78"/>
      <c r="Q44" s="6">
        <v>0.0</v>
      </c>
    </row>
    <row r="45" ht="12.0" customHeight="1">
      <c r="A45" s="22"/>
      <c r="B45" s="27" t="str">
        <f t="shared" si="5"/>
        <v>#REF!</v>
      </c>
      <c r="C45" s="27"/>
      <c r="D45" s="27"/>
      <c r="E45" s="27"/>
      <c r="F45" s="27"/>
      <c r="G45" s="27" t="s">
        <v>3512</v>
      </c>
      <c r="H45" s="27" t="str">
        <f t="shared" si="6"/>
        <v>#REF!</v>
      </c>
      <c r="I45" s="27" t="s">
        <v>3515</v>
      </c>
      <c r="J45" s="27" t="s">
        <v>3516</v>
      </c>
      <c r="K45" s="79" t="str">
        <f t="shared" si="7"/>
        <v>#REF!</v>
      </c>
      <c r="L45" s="27" t="s">
        <v>3515</v>
      </c>
      <c r="M45" s="27" t="str">
        <f t="shared" si="8"/>
        <v>};</v>
      </c>
      <c r="P45" s="78"/>
      <c r="Q45" s="6">
        <v>0.0</v>
      </c>
    </row>
    <row r="46" ht="12.0" customHeight="1">
      <c r="A46" s="22"/>
      <c r="B46" s="27" t="str">
        <f t="shared" si="5"/>
        <v>#REF!</v>
      </c>
      <c r="C46" s="27"/>
      <c r="D46" s="27"/>
      <c r="E46" s="27"/>
      <c r="F46" s="27"/>
      <c r="G46" s="27" t="s">
        <v>3512</v>
      </c>
      <c r="H46" s="27" t="str">
        <f t="shared" si="6"/>
        <v>#REF!</v>
      </c>
      <c r="I46" s="27" t="s">
        <v>3515</v>
      </c>
      <c r="J46" s="27" t="s">
        <v>3516</v>
      </c>
      <c r="K46" s="79" t="str">
        <f t="shared" si="7"/>
        <v>#REF!</v>
      </c>
      <c r="L46" s="27" t="s">
        <v>3515</v>
      </c>
      <c r="M46" s="27" t="str">
        <f t="shared" si="8"/>
        <v>};</v>
      </c>
      <c r="P46" s="78"/>
      <c r="Q46" s="6">
        <v>0.0</v>
      </c>
    </row>
    <row r="47" ht="12.0" customHeight="1">
      <c r="A47" s="22"/>
      <c r="B47" s="27" t="str">
        <f t="shared" si="5"/>
        <v>#REF!</v>
      </c>
      <c r="C47" s="27"/>
      <c r="D47" s="27"/>
      <c r="E47" s="27"/>
      <c r="F47" s="27"/>
      <c r="G47" s="27" t="s">
        <v>3512</v>
      </c>
      <c r="H47" s="27" t="str">
        <f t="shared" si="6"/>
        <v>#REF!</v>
      </c>
      <c r="I47" s="27" t="s">
        <v>3515</v>
      </c>
      <c r="J47" s="27" t="s">
        <v>3516</v>
      </c>
      <c r="K47" s="79" t="str">
        <f t="shared" si="7"/>
        <v>#REF!</v>
      </c>
      <c r="L47" s="27" t="s">
        <v>3515</v>
      </c>
      <c r="M47" s="27" t="str">
        <f t="shared" si="8"/>
        <v>};</v>
      </c>
      <c r="P47" s="78"/>
      <c r="Q47" s="6">
        <v>0.0</v>
      </c>
    </row>
    <row r="48" ht="12.0" customHeight="1">
      <c r="A48" s="22"/>
      <c r="B48" s="27" t="str">
        <f t="shared" si="5"/>
        <v>#REF!</v>
      </c>
      <c r="C48" s="27"/>
      <c r="D48" s="27"/>
      <c r="E48" s="27"/>
      <c r="F48" s="27"/>
      <c r="G48" s="27" t="s">
        <v>3512</v>
      </c>
      <c r="H48" s="27" t="str">
        <f t="shared" si="6"/>
        <v>#REF!</v>
      </c>
      <c r="I48" s="27" t="s">
        <v>3515</v>
      </c>
      <c r="J48" s="27" t="s">
        <v>3516</v>
      </c>
      <c r="K48" s="79" t="str">
        <f t="shared" si="7"/>
        <v>#REF!</v>
      </c>
      <c r="L48" s="27" t="s">
        <v>3515</v>
      </c>
      <c r="M48" s="27" t="str">
        <f t="shared" si="8"/>
        <v>};</v>
      </c>
      <c r="P48" s="78"/>
      <c r="Q48" s="6">
        <v>0.0</v>
      </c>
    </row>
    <row r="49" ht="12.0" customHeight="1">
      <c r="A49" s="22"/>
      <c r="B49" s="27" t="str">
        <f t="shared" si="5"/>
        <v>#REF!</v>
      </c>
      <c r="C49" s="27"/>
      <c r="D49" s="27"/>
      <c r="E49" s="27"/>
      <c r="F49" s="27"/>
      <c r="G49" s="27" t="s">
        <v>3512</v>
      </c>
      <c r="H49" s="27" t="str">
        <f t="shared" si="6"/>
        <v>#REF!</v>
      </c>
      <c r="I49" s="27" t="s">
        <v>3515</v>
      </c>
      <c r="J49" s="27" t="s">
        <v>3516</v>
      </c>
      <c r="K49" s="79" t="str">
        <f t="shared" si="7"/>
        <v>#REF!</v>
      </c>
      <c r="L49" s="27" t="s">
        <v>3515</v>
      </c>
      <c r="M49" s="27" t="str">
        <f t="shared" si="8"/>
        <v>};</v>
      </c>
      <c r="P49" s="78"/>
      <c r="Q49" s="6">
        <v>0.0</v>
      </c>
    </row>
    <row r="50" ht="12.0" customHeight="1">
      <c r="A50" s="22"/>
      <c r="B50" s="27" t="str">
        <f t="shared" si="5"/>
        <v>#REF!</v>
      </c>
      <c r="C50" s="27"/>
      <c r="D50" s="27"/>
      <c r="E50" s="27"/>
      <c r="F50" s="27"/>
      <c r="G50" s="27" t="s">
        <v>3512</v>
      </c>
      <c r="H50" s="27" t="str">
        <f t="shared" si="6"/>
        <v>#REF!</v>
      </c>
      <c r="I50" s="27" t="s">
        <v>3515</v>
      </c>
      <c r="J50" s="27" t="s">
        <v>3516</v>
      </c>
      <c r="K50" s="79" t="str">
        <f t="shared" si="7"/>
        <v>#REF!</v>
      </c>
      <c r="L50" s="27" t="s">
        <v>3515</v>
      </c>
      <c r="M50" s="27" t="str">
        <f t="shared" si="8"/>
        <v>};</v>
      </c>
      <c r="P50" s="78"/>
      <c r="Q50" s="6">
        <v>0.0</v>
      </c>
    </row>
    <row r="51" ht="12.0" customHeight="1">
      <c r="A51" s="22"/>
      <c r="B51" s="27" t="str">
        <f t="shared" si="5"/>
        <v>#REF!</v>
      </c>
      <c r="C51" s="27"/>
      <c r="D51" s="27"/>
      <c r="E51" s="27"/>
      <c r="F51" s="27"/>
      <c r="G51" s="27" t="s">
        <v>3512</v>
      </c>
      <c r="H51" s="27" t="str">
        <f t="shared" si="6"/>
        <v>#REF!</v>
      </c>
      <c r="I51" s="27" t="s">
        <v>3515</v>
      </c>
      <c r="J51" s="27" t="s">
        <v>3516</v>
      </c>
      <c r="K51" s="79" t="str">
        <f t="shared" si="7"/>
        <v>#REF!</v>
      </c>
      <c r="L51" s="27" t="s">
        <v>3515</v>
      </c>
      <c r="M51" s="27" t="str">
        <f t="shared" si="8"/>
        <v>};</v>
      </c>
      <c r="P51" s="78"/>
      <c r="Q51" s="6">
        <v>0.0</v>
      </c>
    </row>
    <row r="52" ht="12.0" customHeight="1">
      <c r="A52" s="22"/>
      <c r="B52" s="27" t="str">
        <f t="shared" si="5"/>
        <v>#REF!</v>
      </c>
      <c r="C52" s="27"/>
      <c r="D52" s="27"/>
      <c r="E52" s="27"/>
      <c r="F52" s="27"/>
      <c r="G52" s="27" t="s">
        <v>3512</v>
      </c>
      <c r="H52" s="27" t="str">
        <f t="shared" si="6"/>
        <v>#REF!</v>
      </c>
      <c r="I52" s="27" t="s">
        <v>3515</v>
      </c>
      <c r="J52" s="27" t="s">
        <v>3516</v>
      </c>
      <c r="K52" s="79" t="str">
        <f t="shared" si="7"/>
        <v>#REF!</v>
      </c>
      <c r="L52" s="27" t="s">
        <v>3515</v>
      </c>
      <c r="M52" s="27" t="str">
        <f t="shared" si="8"/>
        <v>};</v>
      </c>
      <c r="P52" s="78"/>
      <c r="Q52" s="6">
        <v>0.0</v>
      </c>
    </row>
    <row r="53" ht="12.0" customHeight="1">
      <c r="A53" s="22"/>
      <c r="B53" s="27" t="str">
        <f t="shared" si="5"/>
        <v>#REF!</v>
      </c>
      <c r="C53" s="27"/>
      <c r="D53" s="27"/>
      <c r="E53" s="27"/>
      <c r="F53" s="27"/>
      <c r="G53" s="27" t="s">
        <v>3512</v>
      </c>
      <c r="H53" s="27" t="str">
        <f t="shared" si="6"/>
        <v>#REF!</v>
      </c>
      <c r="I53" s="27" t="s">
        <v>3515</v>
      </c>
      <c r="J53" s="27" t="s">
        <v>3516</v>
      </c>
      <c r="K53" s="79" t="str">
        <f t="shared" si="7"/>
        <v>#REF!</v>
      </c>
      <c r="L53" s="27" t="s">
        <v>3515</v>
      </c>
      <c r="M53" s="27" t="str">
        <f t="shared" si="8"/>
        <v>};</v>
      </c>
      <c r="P53" s="78"/>
      <c r="Q53" s="6">
        <v>0.0</v>
      </c>
    </row>
    <row r="54" ht="12.0" customHeight="1">
      <c r="A54" s="22"/>
      <c r="B54" s="27" t="str">
        <f t="shared" si="5"/>
        <v>#REF!</v>
      </c>
      <c r="C54" s="27"/>
      <c r="D54" s="27"/>
      <c r="E54" s="27"/>
      <c r="F54" s="27"/>
      <c r="G54" s="27" t="s">
        <v>3512</v>
      </c>
      <c r="H54" s="27" t="str">
        <f t="shared" si="6"/>
        <v>#REF!</v>
      </c>
      <c r="I54" s="27" t="s">
        <v>3515</v>
      </c>
      <c r="J54" s="27" t="s">
        <v>3516</v>
      </c>
      <c r="K54" s="79" t="str">
        <f t="shared" si="7"/>
        <v>#REF!</v>
      </c>
      <c r="L54" s="27" t="s">
        <v>3515</v>
      </c>
      <c r="M54" s="27" t="str">
        <f t="shared" si="8"/>
        <v>};</v>
      </c>
      <c r="P54" s="78"/>
      <c r="Q54" s="6">
        <v>0.0</v>
      </c>
    </row>
    <row r="55" ht="12.0" customHeight="1">
      <c r="A55" s="22"/>
      <c r="B55" s="27" t="str">
        <f t="shared" si="5"/>
        <v>#REF!</v>
      </c>
      <c r="C55" s="27"/>
      <c r="D55" s="27"/>
      <c r="E55" s="27"/>
      <c r="F55" s="27"/>
      <c r="G55" s="27" t="s">
        <v>3512</v>
      </c>
      <c r="H55" s="27" t="str">
        <f t="shared" si="6"/>
        <v>#REF!</v>
      </c>
      <c r="I55" s="27" t="s">
        <v>3515</v>
      </c>
      <c r="J55" s="27" t="s">
        <v>3516</v>
      </c>
      <c r="K55" s="79" t="str">
        <f t="shared" si="7"/>
        <v>#REF!</v>
      </c>
      <c r="L55" s="27" t="s">
        <v>3515</v>
      </c>
      <c r="M55" s="27" t="str">
        <f t="shared" si="8"/>
        <v>};</v>
      </c>
      <c r="P55" s="78"/>
      <c r="Q55" s="6">
        <v>0.0</v>
      </c>
    </row>
    <row r="56" ht="12.0" customHeight="1">
      <c r="A56" s="22"/>
      <c r="B56" s="27" t="str">
        <f t="shared" si="5"/>
        <v>#REF!</v>
      </c>
      <c r="C56" s="27"/>
      <c r="D56" s="27"/>
      <c r="E56" s="27"/>
      <c r="F56" s="27"/>
      <c r="G56" s="27" t="s">
        <v>3512</v>
      </c>
      <c r="H56" s="27" t="str">
        <f t="shared" si="6"/>
        <v>#REF!</v>
      </c>
      <c r="I56" s="27" t="s">
        <v>3515</v>
      </c>
      <c r="J56" s="27" t="s">
        <v>3516</v>
      </c>
      <c r="K56" s="79" t="str">
        <f t="shared" si="7"/>
        <v>#REF!</v>
      </c>
      <c r="L56" s="27" t="s">
        <v>3515</v>
      </c>
      <c r="M56" s="27" t="str">
        <f t="shared" si="8"/>
        <v>};</v>
      </c>
      <c r="P56" s="78"/>
      <c r="Q56" s="6">
        <v>0.0</v>
      </c>
    </row>
    <row r="57" ht="12.0" customHeight="1">
      <c r="A57" s="22"/>
      <c r="B57" s="27" t="str">
        <f t="shared" si="5"/>
        <v>#REF!</v>
      </c>
      <c r="C57" s="27"/>
      <c r="D57" s="27"/>
      <c r="E57" s="27"/>
      <c r="F57" s="27"/>
      <c r="G57" s="27" t="s">
        <v>3512</v>
      </c>
      <c r="H57" s="27" t="str">
        <f t="shared" si="6"/>
        <v>#REF!</v>
      </c>
      <c r="I57" s="27" t="s">
        <v>3515</v>
      </c>
      <c r="J57" s="27" t="s">
        <v>3516</v>
      </c>
      <c r="K57" s="79" t="str">
        <f t="shared" si="7"/>
        <v>#REF!</v>
      </c>
      <c r="L57" s="27" t="s">
        <v>3515</v>
      </c>
      <c r="M57" s="27" t="str">
        <f t="shared" si="8"/>
        <v>};</v>
      </c>
      <c r="P57" s="78"/>
      <c r="Q57" s="6">
        <v>0.0</v>
      </c>
    </row>
    <row r="58" ht="12.0" customHeight="1">
      <c r="A58" s="22"/>
      <c r="B58" s="27" t="str">
        <f t="shared" si="5"/>
        <v>#REF!</v>
      </c>
      <c r="C58" s="27"/>
      <c r="D58" s="27"/>
      <c r="E58" s="27"/>
      <c r="F58" s="27"/>
      <c r="G58" s="27" t="s">
        <v>3512</v>
      </c>
      <c r="H58" s="27" t="str">
        <f t="shared" si="6"/>
        <v>#REF!</v>
      </c>
      <c r="I58" s="27" t="s">
        <v>3515</v>
      </c>
      <c r="J58" s="27" t="s">
        <v>3516</v>
      </c>
      <c r="K58" s="79" t="str">
        <f t="shared" si="7"/>
        <v>#REF!</v>
      </c>
      <c r="L58" s="27" t="s">
        <v>3515</v>
      </c>
      <c r="M58" s="27" t="str">
        <f t="shared" si="8"/>
        <v>};</v>
      </c>
      <c r="P58" s="78"/>
      <c r="Q58" s="6">
        <v>0.0</v>
      </c>
    </row>
    <row r="59" ht="12.0" customHeight="1">
      <c r="A59" s="22"/>
      <c r="B59" s="27" t="str">
        <f t="shared" si="5"/>
        <v>#REF!</v>
      </c>
      <c r="C59" s="27"/>
      <c r="D59" s="27"/>
      <c r="E59" s="27"/>
      <c r="F59" s="27"/>
      <c r="G59" s="27" t="s">
        <v>3512</v>
      </c>
      <c r="H59" s="27" t="str">
        <f t="shared" si="6"/>
        <v>#REF!</v>
      </c>
      <c r="I59" s="27" t="s">
        <v>3515</v>
      </c>
      <c r="J59" s="27" t="s">
        <v>3516</v>
      </c>
      <c r="K59" s="79" t="str">
        <f t="shared" si="7"/>
        <v>#REF!</v>
      </c>
      <c r="L59" s="27" t="s">
        <v>3515</v>
      </c>
      <c r="M59" s="27" t="str">
        <f t="shared" si="8"/>
        <v>};</v>
      </c>
      <c r="P59" s="78"/>
      <c r="Q59" s="6">
        <v>0.0</v>
      </c>
    </row>
    <row r="60" ht="12.0" customHeight="1">
      <c r="A60" s="22"/>
      <c r="B60" s="27" t="str">
        <f t="shared" si="5"/>
        <v>#REF!</v>
      </c>
      <c r="C60" s="27"/>
      <c r="D60" s="27"/>
      <c r="E60" s="27"/>
      <c r="F60" s="27"/>
      <c r="G60" s="27" t="s">
        <v>3512</v>
      </c>
      <c r="H60" s="27" t="str">
        <f t="shared" si="6"/>
        <v>#REF!</v>
      </c>
      <c r="I60" s="27" t="s">
        <v>3515</v>
      </c>
      <c r="J60" s="27" t="s">
        <v>3516</v>
      </c>
      <c r="K60" s="79" t="str">
        <f t="shared" si="7"/>
        <v>#REF!</v>
      </c>
      <c r="L60" s="27" t="s">
        <v>3515</v>
      </c>
      <c r="M60" s="27" t="str">
        <f t="shared" si="8"/>
        <v>};</v>
      </c>
      <c r="P60" s="78"/>
      <c r="Q60" s="6">
        <v>0.0</v>
      </c>
    </row>
    <row r="61" ht="12.0" customHeight="1">
      <c r="A61" s="22"/>
      <c r="B61" s="27" t="str">
        <f t="shared" si="5"/>
        <v>#REF!</v>
      </c>
      <c r="C61" s="27"/>
      <c r="D61" s="27"/>
      <c r="E61" s="27"/>
      <c r="F61" s="27"/>
      <c r="G61" s="27" t="s">
        <v>3512</v>
      </c>
      <c r="H61" s="27" t="str">
        <f t="shared" si="6"/>
        <v>#REF!</v>
      </c>
      <c r="I61" s="27" t="s">
        <v>3515</v>
      </c>
      <c r="J61" s="27" t="s">
        <v>3516</v>
      </c>
      <c r="K61" s="79" t="str">
        <f t="shared" si="7"/>
        <v>#REF!</v>
      </c>
      <c r="L61" s="27" t="s">
        <v>3515</v>
      </c>
      <c r="M61" s="27" t="str">
        <f t="shared" si="8"/>
        <v>};</v>
      </c>
      <c r="P61" s="78"/>
      <c r="Q61" s="6">
        <v>0.0</v>
      </c>
    </row>
    <row r="62" ht="12.0" customHeight="1">
      <c r="A62" s="22"/>
      <c r="B62" s="27" t="str">
        <f t="shared" si="5"/>
        <v>#REF!</v>
      </c>
      <c r="C62" s="27"/>
      <c r="D62" s="27"/>
      <c r="E62" s="27"/>
      <c r="F62" s="27"/>
      <c r="G62" s="27" t="s">
        <v>3512</v>
      </c>
      <c r="H62" s="27" t="str">
        <f t="shared" si="6"/>
        <v>#REF!</v>
      </c>
      <c r="I62" s="27" t="s">
        <v>3515</v>
      </c>
      <c r="J62" s="27" t="s">
        <v>3516</v>
      </c>
      <c r="K62" s="79" t="str">
        <f t="shared" si="7"/>
        <v>#REF!</v>
      </c>
      <c r="L62" s="27" t="s">
        <v>3515</v>
      </c>
      <c r="M62" s="27" t="str">
        <f t="shared" si="8"/>
        <v>};</v>
      </c>
      <c r="P62" s="78"/>
      <c r="Q62" s="6">
        <v>0.0</v>
      </c>
    </row>
    <row r="63" ht="12.0" customHeight="1">
      <c r="A63" s="22"/>
      <c r="B63" s="27" t="str">
        <f t="shared" si="5"/>
        <v>#REF!</v>
      </c>
      <c r="C63" s="27"/>
      <c r="D63" s="27"/>
      <c r="E63" s="27"/>
      <c r="F63" s="27"/>
      <c r="G63" s="27" t="s">
        <v>3512</v>
      </c>
      <c r="H63" s="27" t="str">
        <f t="shared" si="6"/>
        <v>#REF!</v>
      </c>
      <c r="I63" s="27" t="s">
        <v>3515</v>
      </c>
      <c r="J63" s="27" t="s">
        <v>3516</v>
      </c>
      <c r="K63" s="79" t="str">
        <f t="shared" si="7"/>
        <v>#REF!</v>
      </c>
      <c r="L63" s="27" t="s">
        <v>3515</v>
      </c>
      <c r="M63" s="27" t="str">
        <f t="shared" si="8"/>
        <v>};</v>
      </c>
      <c r="P63" s="78"/>
      <c r="Q63" s="6">
        <v>0.0</v>
      </c>
    </row>
    <row r="64" ht="12.0" customHeight="1">
      <c r="A64" s="22"/>
      <c r="B64" s="27" t="str">
        <f t="shared" si="5"/>
        <v>#REF!</v>
      </c>
      <c r="C64" s="27"/>
      <c r="D64" s="27"/>
      <c r="E64" s="27"/>
      <c r="F64" s="27"/>
      <c r="G64" s="27" t="s">
        <v>3512</v>
      </c>
      <c r="H64" s="27" t="str">
        <f t="shared" si="6"/>
        <v>#REF!</v>
      </c>
      <c r="I64" s="27" t="s">
        <v>3515</v>
      </c>
      <c r="J64" s="27" t="s">
        <v>3516</v>
      </c>
      <c r="K64" s="79" t="str">
        <f t="shared" si="7"/>
        <v>#REF!</v>
      </c>
      <c r="L64" s="27" t="s">
        <v>3515</v>
      </c>
      <c r="M64" s="27" t="str">
        <f t="shared" si="8"/>
        <v>};</v>
      </c>
      <c r="P64" s="78"/>
      <c r="Q64" s="6">
        <v>0.0</v>
      </c>
    </row>
    <row r="65" ht="12.0" customHeight="1">
      <c r="A65" s="22"/>
      <c r="B65" s="27" t="str">
        <f t="shared" si="5"/>
        <v>#REF!</v>
      </c>
      <c r="C65" s="27"/>
      <c r="D65" s="27"/>
      <c r="E65" s="27"/>
      <c r="F65" s="27"/>
      <c r="G65" s="27" t="s">
        <v>3512</v>
      </c>
      <c r="H65" s="27" t="str">
        <f t="shared" si="6"/>
        <v>#REF!</v>
      </c>
      <c r="I65" s="27" t="s">
        <v>3515</v>
      </c>
      <c r="J65" s="27" t="s">
        <v>3516</v>
      </c>
      <c r="K65" s="79" t="str">
        <f t="shared" si="7"/>
        <v>#REF!</v>
      </c>
      <c r="L65" s="27" t="s">
        <v>3515</v>
      </c>
      <c r="M65" s="27" t="str">
        <f t="shared" si="8"/>
        <v>};</v>
      </c>
      <c r="P65" s="78"/>
      <c r="Q65" s="6">
        <v>0.0</v>
      </c>
    </row>
    <row r="66" ht="12.0" customHeight="1">
      <c r="A66" s="22"/>
      <c r="B66" s="27" t="str">
        <f t="shared" si="5"/>
        <v>#REF!</v>
      </c>
      <c r="C66" s="27"/>
      <c r="D66" s="27"/>
      <c r="E66" s="27"/>
      <c r="F66" s="27"/>
      <c r="G66" s="27" t="s">
        <v>3512</v>
      </c>
      <c r="H66" s="27" t="str">
        <f t="shared" si="6"/>
        <v>#REF!</v>
      </c>
      <c r="I66" s="27" t="s">
        <v>3515</v>
      </c>
      <c r="J66" s="27" t="s">
        <v>3516</v>
      </c>
      <c r="K66" s="79" t="str">
        <f t="shared" si="7"/>
        <v>#REF!</v>
      </c>
      <c r="L66" s="27" t="s">
        <v>3515</v>
      </c>
      <c r="M66" s="27" t="str">
        <f t="shared" si="8"/>
        <v>};</v>
      </c>
      <c r="P66" s="78"/>
      <c r="Q66" s="6">
        <v>0.0</v>
      </c>
    </row>
    <row r="67" ht="12.0" customHeight="1">
      <c r="A67" s="22"/>
      <c r="B67" s="27" t="str">
        <f t="shared" si="5"/>
        <v>#REF!</v>
      </c>
      <c r="C67" s="27"/>
      <c r="D67" s="27"/>
      <c r="E67" s="27"/>
      <c r="F67" s="27"/>
      <c r="G67" s="27" t="s">
        <v>3512</v>
      </c>
      <c r="H67" s="27" t="str">
        <f t="shared" si="6"/>
        <v>#REF!</v>
      </c>
      <c r="I67" s="27" t="s">
        <v>3515</v>
      </c>
      <c r="J67" s="27" t="s">
        <v>3516</v>
      </c>
      <c r="K67" s="79" t="str">
        <f t="shared" si="7"/>
        <v>#REF!</v>
      </c>
      <c r="L67" s="27" t="s">
        <v>3515</v>
      </c>
      <c r="M67" s="27" t="str">
        <f t="shared" si="8"/>
        <v>};</v>
      </c>
      <c r="P67" s="78"/>
      <c r="Q67" s="6">
        <v>0.0</v>
      </c>
    </row>
    <row r="68" ht="12.0" customHeight="1">
      <c r="A68" s="22"/>
      <c r="B68" s="27" t="str">
        <f t="shared" si="5"/>
        <v>#REF!</v>
      </c>
      <c r="C68" s="27"/>
      <c r="D68" s="27"/>
      <c r="E68" s="27"/>
      <c r="F68" s="27"/>
      <c r="G68" s="27" t="s">
        <v>3512</v>
      </c>
      <c r="H68" s="27" t="str">
        <f t="shared" si="6"/>
        <v>#REF!</v>
      </c>
      <c r="I68" s="27" t="s">
        <v>3515</v>
      </c>
      <c r="J68" s="27" t="s">
        <v>3516</v>
      </c>
      <c r="K68" s="79" t="str">
        <f t="shared" si="7"/>
        <v>#REF!</v>
      </c>
      <c r="L68" s="27" t="s">
        <v>3515</v>
      </c>
      <c r="M68" s="27" t="str">
        <f t="shared" si="8"/>
        <v>};</v>
      </c>
      <c r="P68" s="78"/>
      <c r="Q68" s="6">
        <v>0.0</v>
      </c>
    </row>
    <row r="69" ht="12.0" customHeight="1">
      <c r="A69" s="22"/>
      <c r="B69" s="27" t="str">
        <f t="shared" si="5"/>
        <v>#REF!</v>
      </c>
      <c r="C69" s="27"/>
      <c r="D69" s="27"/>
      <c r="E69" s="27"/>
      <c r="F69" s="27"/>
      <c r="G69" s="27" t="s">
        <v>3512</v>
      </c>
      <c r="H69" s="27" t="str">
        <f t="shared" si="6"/>
        <v>#REF!</v>
      </c>
      <c r="I69" s="27" t="s">
        <v>3515</v>
      </c>
      <c r="J69" s="27" t="s">
        <v>3516</v>
      </c>
      <c r="K69" s="79" t="str">
        <f t="shared" si="7"/>
        <v>#REF!</v>
      </c>
      <c r="L69" s="27" t="s">
        <v>3515</v>
      </c>
      <c r="M69" s="27" t="str">
        <f t="shared" si="8"/>
        <v>};</v>
      </c>
      <c r="P69" s="78"/>
      <c r="Q69" s="6">
        <v>0.0</v>
      </c>
    </row>
    <row r="70" ht="12.0" customHeight="1">
      <c r="A70" s="22"/>
      <c r="B70" s="27" t="str">
        <f t="shared" si="5"/>
        <v>#REF!</v>
      </c>
      <c r="C70" s="27"/>
      <c r="D70" s="27"/>
      <c r="E70" s="27"/>
      <c r="F70" s="27"/>
      <c r="G70" s="27" t="s">
        <v>3512</v>
      </c>
      <c r="H70" s="27" t="str">
        <f t="shared" si="6"/>
        <v>#REF!</v>
      </c>
      <c r="I70" s="27" t="s">
        <v>3515</v>
      </c>
      <c r="J70" s="27" t="s">
        <v>3516</v>
      </c>
      <c r="K70" s="79" t="str">
        <f t="shared" si="7"/>
        <v>#REF!</v>
      </c>
      <c r="L70" s="27" t="s">
        <v>3515</v>
      </c>
      <c r="M70" s="27" t="str">
        <f t="shared" si="8"/>
        <v>};</v>
      </c>
      <c r="P70" s="78"/>
      <c r="Q70" s="6">
        <v>0.0</v>
      </c>
    </row>
    <row r="71" ht="12.0" customHeight="1">
      <c r="A71" s="22"/>
      <c r="B71" s="27" t="str">
        <f t="shared" si="5"/>
        <v>#REF!</v>
      </c>
      <c r="C71" s="27"/>
      <c r="D71" s="27"/>
      <c r="E71" s="27"/>
      <c r="F71" s="27"/>
      <c r="G71" s="27" t="s">
        <v>3512</v>
      </c>
      <c r="H71" s="27" t="str">
        <f t="shared" si="6"/>
        <v>#REF!</v>
      </c>
      <c r="I71" s="27" t="s">
        <v>3515</v>
      </c>
      <c r="J71" s="27" t="s">
        <v>3516</v>
      </c>
      <c r="K71" s="79" t="str">
        <f t="shared" si="7"/>
        <v>#REF!</v>
      </c>
      <c r="L71" s="27" t="s">
        <v>3515</v>
      </c>
      <c r="M71" s="27" t="str">
        <f t="shared" si="8"/>
        <v>};</v>
      </c>
      <c r="P71" s="78"/>
      <c r="Q71" s="6">
        <v>0.0</v>
      </c>
    </row>
    <row r="72" ht="12.0" customHeight="1">
      <c r="A72" s="22"/>
      <c r="B72" s="27" t="str">
        <f t="shared" si="5"/>
        <v>#REF!</v>
      </c>
      <c r="C72" s="27"/>
      <c r="D72" s="27"/>
      <c r="E72" s="27"/>
      <c r="F72" s="27"/>
      <c r="G72" s="27" t="s">
        <v>3512</v>
      </c>
      <c r="H72" s="27" t="str">
        <f t="shared" si="6"/>
        <v>#REF!</v>
      </c>
      <c r="I72" s="27" t="s">
        <v>3515</v>
      </c>
      <c r="J72" s="27" t="s">
        <v>3516</v>
      </c>
      <c r="K72" s="79" t="str">
        <f t="shared" si="7"/>
        <v>#REF!</v>
      </c>
      <c r="L72" s="27" t="s">
        <v>3515</v>
      </c>
      <c r="M72" s="27" t="str">
        <f t="shared" si="8"/>
        <v>};</v>
      </c>
      <c r="P72" s="78"/>
      <c r="Q72" s="6">
        <v>0.0</v>
      </c>
    </row>
    <row r="73" ht="12.0" customHeight="1">
      <c r="A73" s="22"/>
      <c r="B73" s="27" t="str">
        <f t="shared" si="5"/>
        <v>#REF!</v>
      </c>
      <c r="C73" s="27"/>
      <c r="D73" s="27"/>
      <c r="E73" s="27"/>
      <c r="F73" s="27"/>
      <c r="G73" s="27" t="s">
        <v>3512</v>
      </c>
      <c r="H73" s="27" t="str">
        <f t="shared" si="6"/>
        <v>#REF!</v>
      </c>
      <c r="I73" s="27" t="s">
        <v>3515</v>
      </c>
      <c r="J73" s="27" t="s">
        <v>3516</v>
      </c>
      <c r="K73" s="79" t="str">
        <f t="shared" si="7"/>
        <v>#REF!</v>
      </c>
      <c r="L73" s="27" t="s">
        <v>3515</v>
      </c>
      <c r="M73" s="27" t="str">
        <f t="shared" si="8"/>
        <v>};</v>
      </c>
      <c r="P73" s="78"/>
      <c r="Q73" s="6">
        <v>0.0</v>
      </c>
    </row>
    <row r="74" ht="12.0" customHeight="1">
      <c r="A74" s="22"/>
      <c r="B74" s="27" t="str">
        <f t="shared" si="5"/>
        <v>#REF!</v>
      </c>
      <c r="C74" s="27"/>
      <c r="D74" s="27"/>
      <c r="E74" s="27"/>
      <c r="F74" s="27"/>
      <c r="G74" s="27" t="s">
        <v>3512</v>
      </c>
      <c r="H74" s="27" t="str">
        <f t="shared" si="6"/>
        <v>#REF!</v>
      </c>
      <c r="I74" s="27" t="s">
        <v>3515</v>
      </c>
      <c r="J74" s="27" t="s">
        <v>3516</v>
      </c>
      <c r="K74" s="79" t="str">
        <f t="shared" si="7"/>
        <v>#REF!</v>
      </c>
      <c r="L74" s="27" t="s">
        <v>3515</v>
      </c>
      <c r="M74" s="27" t="str">
        <f t="shared" si="8"/>
        <v>};</v>
      </c>
      <c r="P74" s="78"/>
      <c r="Q74" s="6">
        <v>0.0</v>
      </c>
    </row>
    <row r="75" ht="12.0" customHeight="1">
      <c r="A75" s="22"/>
      <c r="B75" s="27" t="str">
        <f t="shared" si="5"/>
        <v>#REF!</v>
      </c>
      <c r="C75" s="27"/>
      <c r="D75" s="27"/>
      <c r="E75" s="27"/>
      <c r="F75" s="27"/>
      <c r="G75" s="27" t="s">
        <v>3512</v>
      </c>
      <c r="H75" s="27" t="str">
        <f t="shared" si="6"/>
        <v>#REF!</v>
      </c>
      <c r="I75" s="27" t="s">
        <v>3515</v>
      </c>
      <c r="J75" s="27" t="s">
        <v>3516</v>
      </c>
      <c r="K75" s="79" t="str">
        <f t="shared" si="7"/>
        <v>#REF!</v>
      </c>
      <c r="L75" s="27" t="s">
        <v>3515</v>
      </c>
      <c r="M75" s="27" t="str">
        <f t="shared" si="8"/>
        <v>};</v>
      </c>
      <c r="P75" s="78"/>
      <c r="Q75" s="6">
        <v>0.0</v>
      </c>
    </row>
    <row r="76" ht="12.0" customHeight="1">
      <c r="A76" s="22"/>
      <c r="B76" s="27" t="str">
        <f t="shared" si="5"/>
        <v>#REF!</v>
      </c>
      <c r="C76" s="27"/>
      <c r="D76" s="27"/>
      <c r="E76" s="27"/>
      <c r="F76" s="27"/>
      <c r="G76" s="27" t="s">
        <v>3512</v>
      </c>
      <c r="H76" s="27" t="str">
        <f t="shared" si="6"/>
        <v>#REF!</v>
      </c>
      <c r="I76" s="27" t="s">
        <v>3515</v>
      </c>
      <c r="J76" s="27" t="s">
        <v>3516</v>
      </c>
      <c r="K76" s="79" t="str">
        <f t="shared" si="7"/>
        <v>#REF!</v>
      </c>
      <c r="L76" s="27" t="s">
        <v>3515</v>
      </c>
      <c r="M76" s="27" t="str">
        <f t="shared" si="8"/>
        <v>};</v>
      </c>
      <c r="P76" s="78"/>
      <c r="Q76" s="6">
        <v>0.0</v>
      </c>
    </row>
    <row r="77" ht="12.0" customHeight="1">
      <c r="A77" s="22"/>
      <c r="B77" s="27" t="str">
        <f t="shared" si="5"/>
        <v>#REF!</v>
      </c>
      <c r="C77" s="27"/>
      <c r="D77" s="27"/>
      <c r="E77" s="27"/>
      <c r="F77" s="27"/>
      <c r="G77" s="27" t="s">
        <v>3512</v>
      </c>
      <c r="H77" s="27" t="str">
        <f t="shared" si="6"/>
        <v>#REF!</v>
      </c>
      <c r="I77" s="27" t="s">
        <v>3515</v>
      </c>
      <c r="J77" s="27" t="s">
        <v>3516</v>
      </c>
      <c r="K77" s="79" t="str">
        <f t="shared" si="7"/>
        <v>#REF!</v>
      </c>
      <c r="L77" s="27" t="s">
        <v>3515</v>
      </c>
      <c r="M77" s="27" t="str">
        <f t="shared" si="8"/>
        <v>};</v>
      </c>
      <c r="P77" s="78"/>
      <c r="Q77" s="6">
        <v>0.0</v>
      </c>
    </row>
    <row r="78" ht="12.0" customHeight="1">
      <c r="A78" s="22"/>
      <c r="B78" s="27" t="str">
        <f t="shared" si="5"/>
        <v>#REF!</v>
      </c>
      <c r="C78" s="27"/>
      <c r="D78" s="27"/>
      <c r="E78" s="27"/>
      <c r="F78" s="27"/>
      <c r="G78" s="27" t="s">
        <v>3512</v>
      </c>
      <c r="H78" s="27" t="str">
        <f t="shared" si="6"/>
        <v>#REF!</v>
      </c>
      <c r="I78" s="27" t="s">
        <v>3515</v>
      </c>
      <c r="J78" s="27" t="s">
        <v>3516</v>
      </c>
      <c r="K78" s="79" t="str">
        <f t="shared" si="7"/>
        <v>#REF!</v>
      </c>
      <c r="L78" s="27" t="s">
        <v>3515</v>
      </c>
      <c r="M78" s="27" t="str">
        <f t="shared" si="8"/>
        <v>};</v>
      </c>
      <c r="P78" s="78"/>
      <c r="Q78" s="6">
        <v>0.0</v>
      </c>
    </row>
    <row r="79" ht="12.0" customHeight="1">
      <c r="A79" s="22"/>
      <c r="B79" s="27" t="str">
        <f t="shared" si="5"/>
        <v>#REF!</v>
      </c>
      <c r="C79" s="27"/>
      <c r="D79" s="27"/>
      <c r="E79" s="27"/>
      <c r="F79" s="27"/>
      <c r="G79" s="27" t="s">
        <v>3512</v>
      </c>
      <c r="H79" s="27" t="str">
        <f t="shared" si="6"/>
        <v>#REF!</v>
      </c>
      <c r="I79" s="27" t="s">
        <v>3515</v>
      </c>
      <c r="J79" s="27" t="s">
        <v>3516</v>
      </c>
      <c r="K79" s="79" t="str">
        <f t="shared" si="7"/>
        <v>#REF!</v>
      </c>
      <c r="L79" s="27" t="s">
        <v>3515</v>
      </c>
      <c r="M79" s="27" t="str">
        <f t="shared" si="8"/>
        <v>};</v>
      </c>
      <c r="P79" s="78"/>
      <c r="Q79" s="6">
        <v>0.0</v>
      </c>
    </row>
    <row r="80" ht="12.0" customHeight="1">
      <c r="A80" s="22"/>
      <c r="B80" s="27" t="str">
        <f t="shared" si="5"/>
        <v>#REF!</v>
      </c>
      <c r="C80" s="27"/>
      <c r="D80" s="27"/>
      <c r="E80" s="27"/>
      <c r="F80" s="27"/>
      <c r="G80" s="27" t="s">
        <v>3512</v>
      </c>
      <c r="H80" s="27" t="str">
        <f t="shared" si="6"/>
        <v>#REF!</v>
      </c>
      <c r="I80" s="27" t="s">
        <v>3515</v>
      </c>
      <c r="J80" s="27" t="s">
        <v>3516</v>
      </c>
      <c r="K80" s="79" t="str">
        <f t="shared" si="7"/>
        <v>#REF!</v>
      </c>
      <c r="L80" s="27" t="s">
        <v>3515</v>
      </c>
      <c r="M80" s="27" t="str">
        <f t="shared" si="8"/>
        <v>};</v>
      </c>
      <c r="P80" s="78"/>
      <c r="Q80" s="6">
        <v>0.0</v>
      </c>
    </row>
    <row r="81" ht="12.0" customHeight="1">
      <c r="A81" s="22"/>
      <c r="B81" s="27" t="str">
        <f t="shared" si="5"/>
        <v>#REF!</v>
      </c>
      <c r="C81" s="27"/>
      <c r="D81" s="27"/>
      <c r="E81" s="27"/>
      <c r="F81" s="27"/>
      <c r="G81" s="27" t="s">
        <v>3512</v>
      </c>
      <c r="H81" s="27" t="str">
        <f t="shared" si="6"/>
        <v>#REF!</v>
      </c>
      <c r="I81" s="27" t="s">
        <v>3515</v>
      </c>
      <c r="J81" s="27" t="s">
        <v>3516</v>
      </c>
      <c r="K81" s="79" t="str">
        <f t="shared" si="7"/>
        <v>#REF!</v>
      </c>
      <c r="L81" s="27" t="s">
        <v>3515</v>
      </c>
      <c r="M81" s="27" t="str">
        <f t="shared" si="8"/>
        <v>};</v>
      </c>
      <c r="P81" s="78"/>
      <c r="Q81" s="6">
        <v>0.0</v>
      </c>
    </row>
    <row r="82" ht="12.0" customHeight="1">
      <c r="A82" s="22"/>
      <c r="B82" s="27" t="str">
        <f t="shared" si="5"/>
        <v>#REF!</v>
      </c>
      <c r="C82" s="27"/>
      <c r="D82" s="27"/>
      <c r="E82" s="27"/>
      <c r="F82" s="27"/>
      <c r="G82" s="27" t="s">
        <v>3512</v>
      </c>
      <c r="H82" s="27" t="str">
        <f t="shared" si="6"/>
        <v>#REF!</v>
      </c>
      <c r="I82" s="27" t="s">
        <v>3515</v>
      </c>
      <c r="J82" s="27" t="s">
        <v>3516</v>
      </c>
      <c r="K82" s="79" t="str">
        <f t="shared" si="7"/>
        <v>#REF!</v>
      </c>
      <c r="L82" s="27" t="s">
        <v>3515</v>
      </c>
      <c r="M82" s="27" t="str">
        <f t="shared" si="8"/>
        <v>};</v>
      </c>
      <c r="P82" s="78"/>
      <c r="Q82" s="6">
        <v>0.0</v>
      </c>
    </row>
    <row r="83" ht="12.0" customHeight="1">
      <c r="A83" s="22"/>
      <c r="B83" s="27" t="str">
        <f t="shared" si="5"/>
        <v>#REF!</v>
      </c>
      <c r="C83" s="27"/>
      <c r="D83" s="27"/>
      <c r="E83" s="27"/>
      <c r="F83" s="27"/>
      <c r="G83" s="27" t="s">
        <v>3512</v>
      </c>
      <c r="H83" s="27" t="str">
        <f t="shared" si="6"/>
        <v>#REF!</v>
      </c>
      <c r="I83" s="27" t="s">
        <v>3515</v>
      </c>
      <c r="J83" s="27" t="s">
        <v>3516</v>
      </c>
      <c r="K83" s="79" t="str">
        <f t="shared" si="7"/>
        <v>#REF!</v>
      </c>
      <c r="L83" s="27" t="s">
        <v>3515</v>
      </c>
      <c r="M83" s="27" t="str">
        <f t="shared" si="8"/>
        <v>};</v>
      </c>
      <c r="P83" s="78"/>
      <c r="Q83" s="6">
        <v>0.0</v>
      </c>
    </row>
    <row r="84" ht="12.0" customHeight="1">
      <c r="A84" s="22"/>
      <c r="B84" s="27" t="str">
        <f t="shared" si="5"/>
        <v>#REF!</v>
      </c>
      <c r="C84" s="27"/>
      <c r="D84" s="27"/>
      <c r="E84" s="27"/>
      <c r="F84" s="27"/>
      <c r="G84" s="27" t="s">
        <v>3512</v>
      </c>
      <c r="H84" s="27" t="str">
        <f t="shared" si="6"/>
        <v>#REF!</v>
      </c>
      <c r="I84" s="27" t="s">
        <v>3515</v>
      </c>
      <c r="J84" s="27" t="s">
        <v>3516</v>
      </c>
      <c r="K84" s="79" t="str">
        <f t="shared" si="7"/>
        <v>#REF!</v>
      </c>
      <c r="L84" s="27" t="s">
        <v>3515</v>
      </c>
      <c r="M84" s="27" t="str">
        <f t="shared" si="8"/>
        <v>};</v>
      </c>
      <c r="P84" s="78"/>
      <c r="Q84" s="6">
        <v>0.0</v>
      </c>
    </row>
    <row r="85" ht="12.0" customHeight="1">
      <c r="A85" s="22"/>
      <c r="B85" s="27" t="str">
        <f t="shared" si="5"/>
        <v>#REF!</v>
      </c>
      <c r="C85" s="27"/>
      <c r="D85" s="27"/>
      <c r="E85" s="27"/>
      <c r="F85" s="27"/>
      <c r="G85" s="27" t="s">
        <v>3512</v>
      </c>
      <c r="H85" s="27" t="str">
        <f t="shared" si="6"/>
        <v>#REF!</v>
      </c>
      <c r="I85" s="27" t="s">
        <v>3515</v>
      </c>
      <c r="J85" s="27" t="s">
        <v>3516</v>
      </c>
      <c r="K85" s="79" t="str">
        <f t="shared" si="7"/>
        <v>#REF!</v>
      </c>
      <c r="L85" s="27" t="s">
        <v>3515</v>
      </c>
      <c r="M85" s="27" t="str">
        <f t="shared" si="8"/>
        <v>};</v>
      </c>
      <c r="P85" s="78"/>
      <c r="Q85" s="6">
        <v>0.0</v>
      </c>
    </row>
    <row r="86" ht="12.0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79"/>
      <c r="L86" s="27"/>
      <c r="M86" s="27"/>
      <c r="N86" s="27"/>
      <c r="O86" s="27"/>
      <c r="P86" s="90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2.0" customHeight="1">
      <c r="A87" s="22"/>
      <c r="B87" s="22" t="s">
        <v>174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P87" s="78"/>
    </row>
    <row r="88" ht="12.0" customHeight="1">
      <c r="A88" s="22"/>
      <c r="B88" s="22" t="s">
        <v>285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P88" s="78"/>
    </row>
    <row r="89" ht="12.0" customHeight="1">
      <c r="A89" s="22"/>
      <c r="B89" s="22" t="s">
        <v>174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P89" s="78"/>
    </row>
    <row r="90" ht="12.0" customHeight="1">
      <c r="A90" s="22"/>
      <c r="B90" s="27" t="str">
        <f t="shared" ref="B90:B151" si="9">'Exile INPUT'!C94</f>
        <v>#REF!</v>
      </c>
      <c r="C90" s="27"/>
      <c r="D90" s="27"/>
      <c r="E90" s="27"/>
      <c r="F90" s="27"/>
      <c r="G90" s="27" t="s">
        <v>3512</v>
      </c>
      <c r="H90" s="27" t="str">
        <f t="shared" ref="H90:H151" si="10">'Exile INPUT'!F94</f>
        <v>#REF!</v>
      </c>
      <c r="I90" s="27" t="s">
        <v>3515</v>
      </c>
      <c r="J90" s="27" t="s">
        <v>3516</v>
      </c>
      <c r="K90" s="79" t="str">
        <f t="shared" ref="K90:K151" si="11">'Exile INPUT'!J94</f>
        <v>#REF!</v>
      </c>
      <c r="L90" s="27" t="s">
        <v>3515</v>
      </c>
      <c r="M90" s="27" t="str">
        <f t="shared" ref="M90:M151" si="12">IF(Q90 = 0, "};",CONCATENATE("sellPrice = ",Q90,"; };"))</f>
        <v>};</v>
      </c>
      <c r="P90" s="78"/>
      <c r="Q90" s="6">
        <v>0.0</v>
      </c>
    </row>
    <row r="91" ht="12.0" customHeight="1">
      <c r="A91" s="22"/>
      <c r="B91" s="27" t="str">
        <f t="shared" si="9"/>
        <v>#REF!</v>
      </c>
      <c r="C91" s="27"/>
      <c r="D91" s="27"/>
      <c r="E91" s="27"/>
      <c r="F91" s="27"/>
      <c r="G91" s="27" t="s">
        <v>3512</v>
      </c>
      <c r="H91" s="27" t="str">
        <f t="shared" si="10"/>
        <v>#REF!</v>
      </c>
      <c r="I91" s="27" t="s">
        <v>3515</v>
      </c>
      <c r="J91" s="27" t="s">
        <v>3516</v>
      </c>
      <c r="K91" s="79" t="str">
        <f t="shared" si="11"/>
        <v>#REF!</v>
      </c>
      <c r="L91" s="27" t="s">
        <v>3515</v>
      </c>
      <c r="M91" s="27" t="str">
        <f t="shared" si="12"/>
        <v>};</v>
      </c>
      <c r="P91" s="78"/>
      <c r="Q91" s="6">
        <v>0.0</v>
      </c>
    </row>
    <row r="92" ht="12.0" customHeight="1">
      <c r="A92" s="22"/>
      <c r="B92" s="27" t="str">
        <f t="shared" si="9"/>
        <v>#REF!</v>
      </c>
      <c r="C92" s="27"/>
      <c r="D92" s="27"/>
      <c r="E92" s="27"/>
      <c r="F92" s="27"/>
      <c r="G92" s="27" t="s">
        <v>3512</v>
      </c>
      <c r="H92" s="27" t="str">
        <f t="shared" si="10"/>
        <v>#REF!</v>
      </c>
      <c r="I92" s="27" t="s">
        <v>3515</v>
      </c>
      <c r="J92" s="27" t="s">
        <v>3516</v>
      </c>
      <c r="K92" s="79" t="str">
        <f t="shared" si="11"/>
        <v>#REF!</v>
      </c>
      <c r="L92" s="27" t="s">
        <v>3515</v>
      </c>
      <c r="M92" s="27" t="str">
        <f t="shared" si="12"/>
        <v>};</v>
      </c>
      <c r="P92" s="78"/>
      <c r="Q92" s="6">
        <v>0.0</v>
      </c>
    </row>
    <row r="93" ht="12.0" customHeight="1">
      <c r="A93" s="22"/>
      <c r="B93" s="27" t="str">
        <f t="shared" si="9"/>
        <v>#REF!</v>
      </c>
      <c r="C93" s="27"/>
      <c r="D93" s="27"/>
      <c r="E93" s="27"/>
      <c r="F93" s="27"/>
      <c r="G93" s="27" t="s">
        <v>3512</v>
      </c>
      <c r="H93" s="27" t="str">
        <f t="shared" si="10"/>
        <v>#REF!</v>
      </c>
      <c r="I93" s="27" t="s">
        <v>3515</v>
      </c>
      <c r="J93" s="27" t="s">
        <v>3516</v>
      </c>
      <c r="K93" s="79" t="str">
        <f t="shared" si="11"/>
        <v>#REF!</v>
      </c>
      <c r="L93" s="27" t="s">
        <v>3515</v>
      </c>
      <c r="M93" s="27" t="str">
        <f t="shared" si="12"/>
        <v>};</v>
      </c>
      <c r="P93" s="78"/>
      <c r="Q93" s="6">
        <v>0.0</v>
      </c>
    </row>
    <row r="94" ht="12.0" customHeight="1">
      <c r="A94" s="22"/>
      <c r="B94" s="27" t="str">
        <f t="shared" si="9"/>
        <v>#REF!</v>
      </c>
      <c r="C94" s="27"/>
      <c r="D94" s="27"/>
      <c r="E94" s="27"/>
      <c r="F94" s="27"/>
      <c r="G94" s="27" t="s">
        <v>3512</v>
      </c>
      <c r="H94" s="27" t="str">
        <f t="shared" si="10"/>
        <v>#REF!</v>
      </c>
      <c r="I94" s="27" t="s">
        <v>3515</v>
      </c>
      <c r="J94" s="27" t="s">
        <v>3516</v>
      </c>
      <c r="K94" s="79" t="str">
        <f t="shared" si="11"/>
        <v>#REF!</v>
      </c>
      <c r="L94" s="27" t="s">
        <v>3515</v>
      </c>
      <c r="M94" s="27" t="str">
        <f t="shared" si="12"/>
        <v>};</v>
      </c>
      <c r="P94" s="78"/>
      <c r="Q94" s="6">
        <v>0.0</v>
      </c>
    </row>
    <row r="95" ht="12.0" customHeight="1">
      <c r="A95" s="22"/>
      <c r="B95" s="27" t="str">
        <f t="shared" si="9"/>
        <v>#REF!</v>
      </c>
      <c r="C95" s="27"/>
      <c r="D95" s="27"/>
      <c r="E95" s="27"/>
      <c r="F95" s="27"/>
      <c r="G95" s="27" t="s">
        <v>3512</v>
      </c>
      <c r="H95" s="27" t="str">
        <f t="shared" si="10"/>
        <v>#REF!</v>
      </c>
      <c r="I95" s="27" t="s">
        <v>3515</v>
      </c>
      <c r="J95" s="27" t="s">
        <v>3516</v>
      </c>
      <c r="K95" s="79" t="str">
        <f t="shared" si="11"/>
        <v>#REF!</v>
      </c>
      <c r="L95" s="27" t="s">
        <v>3515</v>
      </c>
      <c r="M95" s="27" t="str">
        <f t="shared" si="12"/>
        <v>};</v>
      </c>
      <c r="P95" s="78"/>
      <c r="Q95" s="6">
        <v>0.0</v>
      </c>
    </row>
    <row r="96" ht="12.0" customHeight="1">
      <c r="A96" s="22"/>
      <c r="B96" s="27" t="str">
        <f t="shared" si="9"/>
        <v>#REF!</v>
      </c>
      <c r="C96" s="27"/>
      <c r="D96" s="27"/>
      <c r="E96" s="27"/>
      <c r="F96" s="27"/>
      <c r="G96" s="27" t="s">
        <v>3512</v>
      </c>
      <c r="H96" s="27" t="str">
        <f t="shared" si="10"/>
        <v>#REF!</v>
      </c>
      <c r="I96" s="27" t="s">
        <v>3515</v>
      </c>
      <c r="J96" s="27" t="s">
        <v>3516</v>
      </c>
      <c r="K96" s="79" t="str">
        <f t="shared" si="11"/>
        <v>#REF!</v>
      </c>
      <c r="L96" s="27" t="s">
        <v>3515</v>
      </c>
      <c r="M96" s="27" t="str">
        <f t="shared" si="12"/>
        <v>};</v>
      </c>
      <c r="P96" s="78"/>
      <c r="Q96" s="6">
        <v>0.0</v>
      </c>
    </row>
    <row r="97" ht="12.0" customHeight="1">
      <c r="A97" s="22"/>
      <c r="B97" s="27" t="str">
        <f t="shared" si="9"/>
        <v>#REF!</v>
      </c>
      <c r="C97" s="27"/>
      <c r="D97" s="27"/>
      <c r="E97" s="27"/>
      <c r="F97" s="27"/>
      <c r="G97" s="27" t="s">
        <v>3512</v>
      </c>
      <c r="H97" s="27" t="str">
        <f t="shared" si="10"/>
        <v>#REF!</v>
      </c>
      <c r="I97" s="27" t="s">
        <v>3515</v>
      </c>
      <c r="J97" s="27" t="s">
        <v>3516</v>
      </c>
      <c r="K97" s="79" t="str">
        <f t="shared" si="11"/>
        <v>#REF!</v>
      </c>
      <c r="L97" s="27" t="s">
        <v>3515</v>
      </c>
      <c r="M97" s="27" t="str">
        <f t="shared" si="12"/>
        <v>};</v>
      </c>
      <c r="P97" s="78"/>
      <c r="Q97" s="6">
        <v>0.0</v>
      </c>
    </row>
    <row r="98" ht="12.0" customHeight="1">
      <c r="A98" s="22"/>
      <c r="B98" s="27" t="str">
        <f t="shared" si="9"/>
        <v>#REF!</v>
      </c>
      <c r="C98" s="27"/>
      <c r="D98" s="27"/>
      <c r="E98" s="27"/>
      <c r="F98" s="27"/>
      <c r="G98" s="27" t="s">
        <v>3512</v>
      </c>
      <c r="H98" s="27" t="str">
        <f t="shared" si="10"/>
        <v>#REF!</v>
      </c>
      <c r="I98" s="27" t="s">
        <v>3515</v>
      </c>
      <c r="J98" s="27" t="s">
        <v>3516</v>
      </c>
      <c r="K98" s="79" t="str">
        <f t="shared" si="11"/>
        <v>#REF!</v>
      </c>
      <c r="L98" s="27" t="s">
        <v>3515</v>
      </c>
      <c r="M98" s="27" t="str">
        <f t="shared" si="12"/>
        <v>};</v>
      </c>
      <c r="P98" s="78"/>
      <c r="Q98" s="6">
        <v>0.0</v>
      </c>
    </row>
    <row r="99" ht="12.0" customHeight="1">
      <c r="A99" s="22"/>
      <c r="B99" s="27" t="str">
        <f t="shared" si="9"/>
        <v>#REF!</v>
      </c>
      <c r="C99" s="27"/>
      <c r="D99" s="27"/>
      <c r="E99" s="27"/>
      <c r="F99" s="27"/>
      <c r="G99" s="27" t="s">
        <v>3512</v>
      </c>
      <c r="H99" s="27" t="str">
        <f t="shared" si="10"/>
        <v>#REF!</v>
      </c>
      <c r="I99" s="27" t="s">
        <v>3515</v>
      </c>
      <c r="J99" s="27" t="s">
        <v>3516</v>
      </c>
      <c r="K99" s="79" t="str">
        <f t="shared" si="11"/>
        <v>#REF!</v>
      </c>
      <c r="L99" s="27" t="s">
        <v>3515</v>
      </c>
      <c r="M99" s="27" t="str">
        <f t="shared" si="12"/>
        <v>};</v>
      </c>
      <c r="P99" s="78"/>
      <c r="Q99" s="6">
        <v>0.0</v>
      </c>
    </row>
    <row r="100" ht="12.0" customHeight="1">
      <c r="A100" s="22"/>
      <c r="B100" s="27" t="str">
        <f t="shared" si="9"/>
        <v>#REF!</v>
      </c>
      <c r="C100" s="27"/>
      <c r="D100" s="27"/>
      <c r="E100" s="27"/>
      <c r="F100" s="27"/>
      <c r="G100" s="27" t="s">
        <v>3512</v>
      </c>
      <c r="H100" s="27" t="str">
        <f t="shared" si="10"/>
        <v>#REF!</v>
      </c>
      <c r="I100" s="27" t="s">
        <v>3515</v>
      </c>
      <c r="J100" s="27" t="s">
        <v>3516</v>
      </c>
      <c r="K100" s="79" t="str">
        <f t="shared" si="11"/>
        <v>#REF!</v>
      </c>
      <c r="L100" s="27" t="s">
        <v>3515</v>
      </c>
      <c r="M100" s="27" t="str">
        <f t="shared" si="12"/>
        <v>};</v>
      </c>
      <c r="P100" s="78"/>
      <c r="Q100" s="6">
        <v>0.0</v>
      </c>
    </row>
    <row r="101" ht="12.0" customHeight="1">
      <c r="A101" s="22"/>
      <c r="B101" s="27" t="str">
        <f t="shared" si="9"/>
        <v>#REF!</v>
      </c>
      <c r="C101" s="27"/>
      <c r="D101" s="27"/>
      <c r="E101" s="27"/>
      <c r="F101" s="27"/>
      <c r="G101" s="27" t="s">
        <v>3512</v>
      </c>
      <c r="H101" s="27" t="str">
        <f t="shared" si="10"/>
        <v>#REF!</v>
      </c>
      <c r="I101" s="27" t="s">
        <v>3515</v>
      </c>
      <c r="J101" s="27" t="s">
        <v>3516</v>
      </c>
      <c r="K101" s="79" t="str">
        <f t="shared" si="11"/>
        <v>#REF!</v>
      </c>
      <c r="L101" s="27" t="s">
        <v>3515</v>
      </c>
      <c r="M101" s="27" t="str">
        <f t="shared" si="12"/>
        <v>};</v>
      </c>
      <c r="P101" s="78"/>
      <c r="Q101" s="6">
        <v>0.0</v>
      </c>
    </row>
    <row r="102" ht="12.0" customHeight="1">
      <c r="A102" s="22"/>
      <c r="B102" s="27" t="str">
        <f t="shared" si="9"/>
        <v>#REF!</v>
      </c>
      <c r="C102" s="27"/>
      <c r="D102" s="27"/>
      <c r="E102" s="27"/>
      <c r="F102" s="27"/>
      <c r="G102" s="27" t="s">
        <v>3512</v>
      </c>
      <c r="H102" s="27" t="str">
        <f t="shared" si="10"/>
        <v>#REF!</v>
      </c>
      <c r="I102" s="27" t="s">
        <v>3515</v>
      </c>
      <c r="J102" s="27" t="s">
        <v>3516</v>
      </c>
      <c r="K102" s="79" t="str">
        <f t="shared" si="11"/>
        <v>#REF!</v>
      </c>
      <c r="L102" s="27" t="s">
        <v>3515</v>
      </c>
      <c r="M102" s="27" t="str">
        <f t="shared" si="12"/>
        <v>};</v>
      </c>
      <c r="P102" s="78"/>
      <c r="Q102" s="6">
        <v>0.0</v>
      </c>
    </row>
    <row r="103" ht="12.0" customHeight="1">
      <c r="A103" s="22"/>
      <c r="B103" s="27" t="str">
        <f t="shared" si="9"/>
        <v>#REF!</v>
      </c>
      <c r="C103" s="27"/>
      <c r="D103" s="27"/>
      <c r="E103" s="27"/>
      <c r="F103" s="27"/>
      <c r="G103" s="27" t="s">
        <v>3512</v>
      </c>
      <c r="H103" s="27" t="str">
        <f t="shared" si="10"/>
        <v>#REF!</v>
      </c>
      <c r="I103" s="27" t="s">
        <v>3515</v>
      </c>
      <c r="J103" s="27" t="s">
        <v>3516</v>
      </c>
      <c r="K103" s="79" t="str">
        <f t="shared" si="11"/>
        <v>#REF!</v>
      </c>
      <c r="L103" s="27" t="s">
        <v>3515</v>
      </c>
      <c r="M103" s="27" t="str">
        <f t="shared" si="12"/>
        <v>};</v>
      </c>
      <c r="P103" s="78"/>
      <c r="Q103" s="6">
        <v>0.0</v>
      </c>
    </row>
    <row r="104" ht="12.0" customHeight="1">
      <c r="A104" s="22"/>
      <c r="B104" s="27" t="str">
        <f t="shared" si="9"/>
        <v>#REF!</v>
      </c>
      <c r="C104" s="27"/>
      <c r="D104" s="27"/>
      <c r="E104" s="27"/>
      <c r="F104" s="27"/>
      <c r="G104" s="27" t="s">
        <v>3512</v>
      </c>
      <c r="H104" s="27" t="str">
        <f t="shared" si="10"/>
        <v>#REF!</v>
      </c>
      <c r="I104" s="27" t="s">
        <v>3515</v>
      </c>
      <c r="J104" s="27" t="s">
        <v>3516</v>
      </c>
      <c r="K104" s="79" t="str">
        <f t="shared" si="11"/>
        <v>#REF!</v>
      </c>
      <c r="L104" s="27" t="s">
        <v>3515</v>
      </c>
      <c r="M104" s="27" t="str">
        <f t="shared" si="12"/>
        <v>};</v>
      </c>
      <c r="P104" s="78"/>
      <c r="Q104" s="6">
        <v>0.0</v>
      </c>
    </row>
    <row r="105" ht="12.0" customHeight="1">
      <c r="A105" s="22"/>
      <c r="B105" s="27" t="str">
        <f t="shared" si="9"/>
        <v>#REF!</v>
      </c>
      <c r="C105" s="27"/>
      <c r="D105" s="27"/>
      <c r="E105" s="27"/>
      <c r="F105" s="27"/>
      <c r="G105" s="27" t="s">
        <v>3512</v>
      </c>
      <c r="H105" s="27" t="str">
        <f t="shared" si="10"/>
        <v>#REF!</v>
      </c>
      <c r="I105" s="27" t="s">
        <v>3515</v>
      </c>
      <c r="J105" s="27" t="s">
        <v>3516</v>
      </c>
      <c r="K105" s="79" t="str">
        <f t="shared" si="11"/>
        <v>#REF!</v>
      </c>
      <c r="L105" s="27" t="s">
        <v>3515</v>
      </c>
      <c r="M105" s="27" t="str">
        <f t="shared" si="12"/>
        <v>};</v>
      </c>
      <c r="P105" s="78"/>
      <c r="Q105" s="6">
        <v>0.0</v>
      </c>
    </row>
    <row r="106" ht="12.0" customHeight="1">
      <c r="A106" s="22"/>
      <c r="B106" s="27" t="str">
        <f t="shared" si="9"/>
        <v>#REF!</v>
      </c>
      <c r="C106" s="27"/>
      <c r="D106" s="27"/>
      <c r="E106" s="27"/>
      <c r="F106" s="27"/>
      <c r="G106" s="27" t="s">
        <v>3512</v>
      </c>
      <c r="H106" s="27" t="str">
        <f t="shared" si="10"/>
        <v>#REF!</v>
      </c>
      <c r="I106" s="27" t="s">
        <v>3515</v>
      </c>
      <c r="J106" s="27" t="s">
        <v>3516</v>
      </c>
      <c r="K106" s="79" t="str">
        <f t="shared" si="11"/>
        <v>#REF!</v>
      </c>
      <c r="L106" s="27" t="s">
        <v>3515</v>
      </c>
      <c r="M106" s="27" t="str">
        <f t="shared" si="12"/>
        <v>};</v>
      </c>
      <c r="P106" s="78"/>
      <c r="Q106" s="6">
        <v>0.0</v>
      </c>
    </row>
    <row r="107" ht="12.0" customHeight="1">
      <c r="A107" s="22"/>
      <c r="B107" s="27" t="str">
        <f t="shared" si="9"/>
        <v>#REF!</v>
      </c>
      <c r="C107" s="27"/>
      <c r="D107" s="27"/>
      <c r="E107" s="27"/>
      <c r="F107" s="27"/>
      <c r="G107" s="27" t="s">
        <v>3512</v>
      </c>
      <c r="H107" s="27" t="str">
        <f t="shared" si="10"/>
        <v>#REF!</v>
      </c>
      <c r="I107" s="27" t="s">
        <v>3515</v>
      </c>
      <c r="J107" s="27" t="s">
        <v>3516</v>
      </c>
      <c r="K107" s="79" t="str">
        <f t="shared" si="11"/>
        <v>#REF!</v>
      </c>
      <c r="L107" s="27" t="s">
        <v>3515</v>
      </c>
      <c r="M107" s="27" t="str">
        <f t="shared" si="12"/>
        <v>};</v>
      </c>
      <c r="P107" s="78"/>
      <c r="Q107" s="6">
        <v>0.0</v>
      </c>
    </row>
    <row r="108" ht="12.0" customHeight="1">
      <c r="A108" s="22"/>
      <c r="B108" s="27" t="str">
        <f t="shared" si="9"/>
        <v>#REF!</v>
      </c>
      <c r="C108" s="27"/>
      <c r="D108" s="27"/>
      <c r="E108" s="27"/>
      <c r="F108" s="27"/>
      <c r="G108" s="27" t="s">
        <v>3512</v>
      </c>
      <c r="H108" s="27" t="str">
        <f t="shared" si="10"/>
        <v>#REF!</v>
      </c>
      <c r="I108" s="27" t="s">
        <v>3515</v>
      </c>
      <c r="J108" s="27" t="s">
        <v>3516</v>
      </c>
      <c r="K108" s="79" t="str">
        <f t="shared" si="11"/>
        <v>#REF!</v>
      </c>
      <c r="L108" s="27" t="s">
        <v>3515</v>
      </c>
      <c r="M108" s="27" t="str">
        <f t="shared" si="12"/>
        <v>};</v>
      </c>
      <c r="P108" s="78"/>
      <c r="Q108" s="6">
        <v>0.0</v>
      </c>
    </row>
    <row r="109" ht="12.0" customHeight="1">
      <c r="A109" s="22"/>
      <c r="B109" s="27" t="str">
        <f t="shared" si="9"/>
        <v>#REF!</v>
      </c>
      <c r="C109" s="27"/>
      <c r="D109" s="27"/>
      <c r="E109" s="27"/>
      <c r="F109" s="27"/>
      <c r="G109" s="27" t="s">
        <v>3512</v>
      </c>
      <c r="H109" s="27" t="str">
        <f t="shared" si="10"/>
        <v>#REF!</v>
      </c>
      <c r="I109" s="27" t="s">
        <v>3515</v>
      </c>
      <c r="J109" s="27" t="s">
        <v>3516</v>
      </c>
      <c r="K109" s="79" t="str">
        <f t="shared" si="11"/>
        <v>#REF!</v>
      </c>
      <c r="L109" s="27" t="s">
        <v>3515</v>
      </c>
      <c r="M109" s="27" t="str">
        <f t="shared" si="12"/>
        <v>};</v>
      </c>
      <c r="P109" s="78"/>
      <c r="Q109" s="6">
        <v>0.0</v>
      </c>
    </row>
    <row r="110" ht="12.0" customHeight="1">
      <c r="A110" s="22"/>
      <c r="B110" s="27" t="str">
        <f t="shared" si="9"/>
        <v>#REF!</v>
      </c>
      <c r="C110" s="27"/>
      <c r="D110" s="27"/>
      <c r="E110" s="27"/>
      <c r="F110" s="27"/>
      <c r="G110" s="27" t="s">
        <v>3512</v>
      </c>
      <c r="H110" s="27" t="str">
        <f t="shared" si="10"/>
        <v>#REF!</v>
      </c>
      <c r="I110" s="27" t="s">
        <v>3515</v>
      </c>
      <c r="J110" s="27" t="s">
        <v>3516</v>
      </c>
      <c r="K110" s="79" t="str">
        <f t="shared" si="11"/>
        <v>#REF!</v>
      </c>
      <c r="L110" s="27" t="s">
        <v>3515</v>
      </c>
      <c r="M110" s="27" t="str">
        <f t="shared" si="12"/>
        <v>};</v>
      </c>
      <c r="P110" s="78"/>
      <c r="Q110" s="6">
        <v>0.0</v>
      </c>
    </row>
    <row r="111" ht="12.0" customHeight="1">
      <c r="A111" s="22"/>
      <c r="B111" s="27" t="str">
        <f t="shared" si="9"/>
        <v>#REF!</v>
      </c>
      <c r="C111" s="27"/>
      <c r="D111" s="27"/>
      <c r="E111" s="27"/>
      <c r="F111" s="27"/>
      <c r="G111" s="27" t="s">
        <v>3512</v>
      </c>
      <c r="H111" s="27" t="str">
        <f t="shared" si="10"/>
        <v>#REF!</v>
      </c>
      <c r="I111" s="27" t="s">
        <v>3515</v>
      </c>
      <c r="J111" s="27" t="s">
        <v>3516</v>
      </c>
      <c r="K111" s="79" t="str">
        <f t="shared" si="11"/>
        <v>#REF!</v>
      </c>
      <c r="L111" s="27" t="s">
        <v>3515</v>
      </c>
      <c r="M111" s="27" t="str">
        <f t="shared" si="12"/>
        <v>};</v>
      </c>
      <c r="P111" s="78"/>
      <c r="Q111" s="6">
        <v>0.0</v>
      </c>
    </row>
    <row r="112" ht="12.0" customHeight="1">
      <c r="A112" s="22"/>
      <c r="B112" s="27" t="str">
        <f t="shared" si="9"/>
        <v>#REF!</v>
      </c>
      <c r="C112" s="27"/>
      <c r="D112" s="27"/>
      <c r="E112" s="27"/>
      <c r="F112" s="27"/>
      <c r="G112" s="27" t="s">
        <v>3512</v>
      </c>
      <c r="H112" s="27" t="str">
        <f t="shared" si="10"/>
        <v>#REF!</v>
      </c>
      <c r="I112" s="27" t="s">
        <v>3515</v>
      </c>
      <c r="J112" s="27" t="s">
        <v>3516</v>
      </c>
      <c r="K112" s="79" t="str">
        <f t="shared" si="11"/>
        <v>#REF!</v>
      </c>
      <c r="L112" s="27" t="s">
        <v>3515</v>
      </c>
      <c r="M112" s="27" t="str">
        <f t="shared" si="12"/>
        <v>};</v>
      </c>
      <c r="P112" s="78"/>
      <c r="Q112" s="6">
        <v>0.0</v>
      </c>
    </row>
    <row r="113" ht="12.0" customHeight="1">
      <c r="A113" s="22"/>
      <c r="B113" s="27" t="str">
        <f t="shared" si="9"/>
        <v>#REF!</v>
      </c>
      <c r="C113" s="27"/>
      <c r="D113" s="27"/>
      <c r="E113" s="27"/>
      <c r="F113" s="27"/>
      <c r="G113" s="27" t="s">
        <v>3512</v>
      </c>
      <c r="H113" s="27" t="str">
        <f t="shared" si="10"/>
        <v>#REF!</v>
      </c>
      <c r="I113" s="27" t="s">
        <v>3515</v>
      </c>
      <c r="J113" s="27" t="s">
        <v>3516</v>
      </c>
      <c r="K113" s="79" t="str">
        <f t="shared" si="11"/>
        <v>#REF!</v>
      </c>
      <c r="L113" s="27" t="s">
        <v>3515</v>
      </c>
      <c r="M113" s="27" t="str">
        <f t="shared" si="12"/>
        <v>};</v>
      </c>
      <c r="P113" s="78"/>
      <c r="Q113" s="6">
        <v>0.0</v>
      </c>
    </row>
    <row r="114" ht="12.0" customHeight="1">
      <c r="A114" s="22"/>
      <c r="B114" s="27" t="str">
        <f t="shared" si="9"/>
        <v>#REF!</v>
      </c>
      <c r="C114" s="27"/>
      <c r="D114" s="27"/>
      <c r="E114" s="27"/>
      <c r="F114" s="27"/>
      <c r="G114" s="27" t="s">
        <v>3512</v>
      </c>
      <c r="H114" s="27" t="str">
        <f t="shared" si="10"/>
        <v>#REF!</v>
      </c>
      <c r="I114" s="27" t="s">
        <v>3515</v>
      </c>
      <c r="J114" s="27" t="s">
        <v>3516</v>
      </c>
      <c r="K114" s="79" t="str">
        <f t="shared" si="11"/>
        <v>#REF!</v>
      </c>
      <c r="L114" s="27" t="s">
        <v>3515</v>
      </c>
      <c r="M114" s="27" t="str">
        <f t="shared" si="12"/>
        <v>};</v>
      </c>
      <c r="P114" s="78"/>
      <c r="Q114" s="6">
        <v>0.0</v>
      </c>
    </row>
    <row r="115" ht="12.0" customHeight="1">
      <c r="A115" s="22"/>
      <c r="B115" s="27" t="str">
        <f t="shared" si="9"/>
        <v>#REF!</v>
      </c>
      <c r="C115" s="27"/>
      <c r="D115" s="27"/>
      <c r="E115" s="27"/>
      <c r="F115" s="27"/>
      <c r="G115" s="27" t="s">
        <v>3512</v>
      </c>
      <c r="H115" s="27" t="str">
        <f t="shared" si="10"/>
        <v>#REF!</v>
      </c>
      <c r="I115" s="27" t="s">
        <v>3515</v>
      </c>
      <c r="J115" s="27" t="s">
        <v>3516</v>
      </c>
      <c r="K115" s="79" t="str">
        <f t="shared" si="11"/>
        <v>#REF!</v>
      </c>
      <c r="L115" s="27" t="s">
        <v>3515</v>
      </c>
      <c r="M115" s="27" t="str">
        <f t="shared" si="12"/>
        <v>};</v>
      </c>
      <c r="P115" s="78"/>
      <c r="Q115" s="6">
        <v>0.0</v>
      </c>
    </row>
    <row r="116" ht="12.0" customHeight="1">
      <c r="A116" s="22"/>
      <c r="B116" s="27" t="str">
        <f t="shared" si="9"/>
        <v>#REF!</v>
      </c>
      <c r="C116" s="27"/>
      <c r="D116" s="27"/>
      <c r="E116" s="27"/>
      <c r="F116" s="27"/>
      <c r="G116" s="27" t="s">
        <v>3512</v>
      </c>
      <c r="H116" s="27" t="str">
        <f t="shared" si="10"/>
        <v>#REF!</v>
      </c>
      <c r="I116" s="27" t="s">
        <v>3515</v>
      </c>
      <c r="J116" s="27" t="s">
        <v>3516</v>
      </c>
      <c r="K116" s="79" t="str">
        <f t="shared" si="11"/>
        <v>#REF!</v>
      </c>
      <c r="L116" s="27" t="s">
        <v>3515</v>
      </c>
      <c r="M116" s="27" t="str">
        <f t="shared" si="12"/>
        <v>};</v>
      </c>
      <c r="P116" s="78"/>
      <c r="Q116" s="6">
        <v>0.0</v>
      </c>
    </row>
    <row r="117" ht="12.0" customHeight="1">
      <c r="A117" s="22"/>
      <c r="B117" s="27" t="str">
        <f t="shared" si="9"/>
        <v>#REF!</v>
      </c>
      <c r="C117" s="27"/>
      <c r="D117" s="27"/>
      <c r="E117" s="27"/>
      <c r="F117" s="27"/>
      <c r="G117" s="27" t="s">
        <v>3512</v>
      </c>
      <c r="H117" s="27" t="str">
        <f t="shared" si="10"/>
        <v>#REF!</v>
      </c>
      <c r="I117" s="27" t="s">
        <v>3515</v>
      </c>
      <c r="J117" s="27" t="s">
        <v>3516</v>
      </c>
      <c r="K117" s="79" t="str">
        <f t="shared" si="11"/>
        <v>#REF!</v>
      </c>
      <c r="L117" s="27" t="s">
        <v>3515</v>
      </c>
      <c r="M117" s="27" t="str">
        <f t="shared" si="12"/>
        <v>};</v>
      </c>
      <c r="P117" s="78"/>
      <c r="Q117" s="6">
        <v>0.0</v>
      </c>
    </row>
    <row r="118" ht="12.0" customHeight="1">
      <c r="A118" s="22"/>
      <c r="B118" s="27" t="str">
        <f t="shared" si="9"/>
        <v>#REF!</v>
      </c>
      <c r="C118" s="27"/>
      <c r="D118" s="27"/>
      <c r="E118" s="27"/>
      <c r="F118" s="27"/>
      <c r="G118" s="27" t="s">
        <v>3512</v>
      </c>
      <c r="H118" s="27" t="str">
        <f t="shared" si="10"/>
        <v>#REF!</v>
      </c>
      <c r="I118" s="27" t="s">
        <v>3515</v>
      </c>
      <c r="J118" s="27" t="s">
        <v>3516</v>
      </c>
      <c r="K118" s="79" t="str">
        <f t="shared" si="11"/>
        <v>#REF!</v>
      </c>
      <c r="L118" s="27" t="s">
        <v>3515</v>
      </c>
      <c r="M118" s="27" t="str">
        <f t="shared" si="12"/>
        <v>};</v>
      </c>
      <c r="P118" s="78"/>
      <c r="Q118" s="6">
        <v>0.0</v>
      </c>
    </row>
    <row r="119" ht="12.0" customHeight="1">
      <c r="A119" s="22"/>
      <c r="B119" s="27" t="str">
        <f t="shared" si="9"/>
        <v>#REF!</v>
      </c>
      <c r="C119" s="27"/>
      <c r="D119" s="27"/>
      <c r="E119" s="27"/>
      <c r="F119" s="27"/>
      <c r="G119" s="27" t="s">
        <v>3512</v>
      </c>
      <c r="H119" s="27" t="str">
        <f t="shared" si="10"/>
        <v>#REF!</v>
      </c>
      <c r="I119" s="27" t="s">
        <v>3515</v>
      </c>
      <c r="J119" s="27" t="s">
        <v>3516</v>
      </c>
      <c r="K119" s="79" t="str">
        <f t="shared" si="11"/>
        <v>#REF!</v>
      </c>
      <c r="L119" s="27" t="s">
        <v>3515</v>
      </c>
      <c r="M119" s="27" t="str">
        <f t="shared" si="12"/>
        <v>};</v>
      </c>
      <c r="P119" s="78"/>
      <c r="Q119" s="6">
        <v>0.0</v>
      </c>
    </row>
    <row r="120" ht="12.0" customHeight="1">
      <c r="A120" s="22"/>
      <c r="B120" s="27" t="str">
        <f t="shared" si="9"/>
        <v>#REF!</v>
      </c>
      <c r="C120" s="27"/>
      <c r="D120" s="27"/>
      <c r="E120" s="27"/>
      <c r="F120" s="27"/>
      <c r="G120" s="27" t="s">
        <v>3512</v>
      </c>
      <c r="H120" s="27" t="str">
        <f t="shared" si="10"/>
        <v>#REF!</v>
      </c>
      <c r="I120" s="27" t="s">
        <v>3515</v>
      </c>
      <c r="J120" s="27" t="s">
        <v>3516</v>
      </c>
      <c r="K120" s="79" t="str">
        <f t="shared" si="11"/>
        <v>#REF!</v>
      </c>
      <c r="L120" s="27" t="s">
        <v>3515</v>
      </c>
      <c r="M120" s="27" t="str">
        <f t="shared" si="12"/>
        <v>};</v>
      </c>
      <c r="P120" s="78"/>
      <c r="Q120" s="6">
        <v>0.0</v>
      </c>
    </row>
    <row r="121" ht="12.0" customHeight="1">
      <c r="A121" s="22"/>
      <c r="B121" s="27" t="str">
        <f t="shared" si="9"/>
        <v>#REF!</v>
      </c>
      <c r="C121" s="27"/>
      <c r="D121" s="27"/>
      <c r="E121" s="27"/>
      <c r="F121" s="27"/>
      <c r="G121" s="27" t="s">
        <v>3512</v>
      </c>
      <c r="H121" s="27" t="str">
        <f t="shared" si="10"/>
        <v>#REF!</v>
      </c>
      <c r="I121" s="27" t="s">
        <v>3515</v>
      </c>
      <c r="J121" s="27" t="s">
        <v>3516</v>
      </c>
      <c r="K121" s="79" t="str">
        <f t="shared" si="11"/>
        <v>#REF!</v>
      </c>
      <c r="L121" s="27" t="s">
        <v>3515</v>
      </c>
      <c r="M121" s="27" t="str">
        <f t="shared" si="12"/>
        <v>};</v>
      </c>
      <c r="P121" s="78"/>
      <c r="Q121" s="6">
        <v>0.0</v>
      </c>
    </row>
    <row r="122" ht="12.0" customHeight="1">
      <c r="A122" s="22"/>
      <c r="B122" s="27" t="str">
        <f t="shared" si="9"/>
        <v>#REF!</v>
      </c>
      <c r="C122" s="27"/>
      <c r="D122" s="27"/>
      <c r="E122" s="27"/>
      <c r="F122" s="27"/>
      <c r="G122" s="27" t="s">
        <v>3512</v>
      </c>
      <c r="H122" s="27" t="str">
        <f t="shared" si="10"/>
        <v>#REF!</v>
      </c>
      <c r="I122" s="27" t="s">
        <v>3515</v>
      </c>
      <c r="J122" s="27" t="s">
        <v>3516</v>
      </c>
      <c r="K122" s="79" t="str">
        <f t="shared" si="11"/>
        <v>#REF!</v>
      </c>
      <c r="L122" s="27" t="s">
        <v>3515</v>
      </c>
      <c r="M122" s="27" t="str">
        <f t="shared" si="12"/>
        <v>};</v>
      </c>
      <c r="P122" s="78"/>
      <c r="Q122" s="6">
        <v>0.0</v>
      </c>
    </row>
    <row r="123" ht="12.0" customHeight="1">
      <c r="A123" s="22"/>
      <c r="B123" s="27" t="str">
        <f t="shared" si="9"/>
        <v>#REF!</v>
      </c>
      <c r="C123" s="27"/>
      <c r="D123" s="27"/>
      <c r="E123" s="27"/>
      <c r="F123" s="27"/>
      <c r="G123" s="27" t="s">
        <v>3512</v>
      </c>
      <c r="H123" s="27" t="str">
        <f t="shared" si="10"/>
        <v>#REF!</v>
      </c>
      <c r="I123" s="27" t="s">
        <v>3515</v>
      </c>
      <c r="J123" s="27" t="s">
        <v>3516</v>
      </c>
      <c r="K123" s="79" t="str">
        <f t="shared" si="11"/>
        <v>#REF!</v>
      </c>
      <c r="L123" s="27" t="s">
        <v>3515</v>
      </c>
      <c r="M123" s="27" t="str">
        <f t="shared" si="12"/>
        <v>};</v>
      </c>
      <c r="P123" s="78"/>
      <c r="Q123" s="6">
        <v>0.0</v>
      </c>
    </row>
    <row r="124" ht="12.0" customHeight="1">
      <c r="A124" s="22"/>
      <c r="B124" s="27" t="str">
        <f t="shared" si="9"/>
        <v>#REF!</v>
      </c>
      <c r="C124" s="27"/>
      <c r="D124" s="27"/>
      <c r="E124" s="27"/>
      <c r="F124" s="27"/>
      <c r="G124" s="27" t="s">
        <v>3512</v>
      </c>
      <c r="H124" s="27" t="str">
        <f t="shared" si="10"/>
        <v>#REF!</v>
      </c>
      <c r="I124" s="27" t="s">
        <v>3515</v>
      </c>
      <c r="J124" s="27" t="s">
        <v>3516</v>
      </c>
      <c r="K124" s="79" t="str">
        <f t="shared" si="11"/>
        <v>#REF!</v>
      </c>
      <c r="L124" s="27" t="s">
        <v>3515</v>
      </c>
      <c r="M124" s="27" t="str">
        <f t="shared" si="12"/>
        <v>};</v>
      </c>
      <c r="P124" s="78"/>
      <c r="Q124" s="6">
        <v>0.0</v>
      </c>
    </row>
    <row r="125" ht="12.0" customHeight="1">
      <c r="A125" s="22"/>
      <c r="B125" s="27" t="str">
        <f t="shared" si="9"/>
        <v>#REF!</v>
      </c>
      <c r="C125" s="27"/>
      <c r="D125" s="27"/>
      <c r="E125" s="27"/>
      <c r="F125" s="27"/>
      <c r="G125" s="27" t="s">
        <v>3512</v>
      </c>
      <c r="H125" s="27" t="str">
        <f t="shared" si="10"/>
        <v>#REF!</v>
      </c>
      <c r="I125" s="27" t="s">
        <v>3515</v>
      </c>
      <c r="J125" s="27" t="s">
        <v>3516</v>
      </c>
      <c r="K125" s="79" t="str">
        <f t="shared" si="11"/>
        <v>#REF!</v>
      </c>
      <c r="L125" s="27" t="s">
        <v>3515</v>
      </c>
      <c r="M125" s="27" t="str">
        <f t="shared" si="12"/>
        <v>};</v>
      </c>
      <c r="P125" s="78"/>
      <c r="Q125" s="6">
        <v>0.0</v>
      </c>
    </row>
    <row r="126" ht="12.0" customHeight="1">
      <c r="A126" s="22"/>
      <c r="B126" s="27" t="str">
        <f t="shared" si="9"/>
        <v>#REF!</v>
      </c>
      <c r="C126" s="27"/>
      <c r="D126" s="27"/>
      <c r="E126" s="27"/>
      <c r="F126" s="27"/>
      <c r="G126" s="27" t="s">
        <v>3512</v>
      </c>
      <c r="H126" s="27" t="str">
        <f t="shared" si="10"/>
        <v>#REF!</v>
      </c>
      <c r="I126" s="27" t="s">
        <v>3515</v>
      </c>
      <c r="J126" s="27" t="s">
        <v>3516</v>
      </c>
      <c r="K126" s="79" t="str">
        <f t="shared" si="11"/>
        <v>#REF!</v>
      </c>
      <c r="L126" s="27" t="s">
        <v>3515</v>
      </c>
      <c r="M126" s="27" t="str">
        <f t="shared" si="12"/>
        <v>};</v>
      </c>
      <c r="P126" s="78"/>
      <c r="Q126" s="6">
        <v>0.0</v>
      </c>
    </row>
    <row r="127" ht="12.0" customHeight="1">
      <c r="A127" s="22"/>
      <c r="B127" s="27" t="str">
        <f t="shared" si="9"/>
        <v>#REF!</v>
      </c>
      <c r="C127" s="27"/>
      <c r="D127" s="27"/>
      <c r="E127" s="27"/>
      <c r="F127" s="27"/>
      <c r="G127" s="27" t="s">
        <v>3512</v>
      </c>
      <c r="H127" s="27" t="str">
        <f t="shared" si="10"/>
        <v>#REF!</v>
      </c>
      <c r="I127" s="27" t="s">
        <v>3515</v>
      </c>
      <c r="J127" s="27" t="s">
        <v>3516</v>
      </c>
      <c r="K127" s="79" t="str">
        <f t="shared" si="11"/>
        <v>#REF!</v>
      </c>
      <c r="L127" s="27" t="s">
        <v>3515</v>
      </c>
      <c r="M127" s="27" t="str">
        <f t="shared" si="12"/>
        <v>};</v>
      </c>
      <c r="P127" s="78"/>
      <c r="Q127" s="6">
        <v>0.0</v>
      </c>
    </row>
    <row r="128" ht="12.0" customHeight="1">
      <c r="A128" s="22"/>
      <c r="B128" s="27" t="str">
        <f t="shared" si="9"/>
        <v>#REF!</v>
      </c>
      <c r="C128" s="27"/>
      <c r="D128" s="27"/>
      <c r="E128" s="27"/>
      <c r="F128" s="27"/>
      <c r="G128" s="27" t="s">
        <v>3512</v>
      </c>
      <c r="H128" s="27" t="str">
        <f t="shared" si="10"/>
        <v>#REF!</v>
      </c>
      <c r="I128" s="27" t="s">
        <v>3515</v>
      </c>
      <c r="J128" s="27" t="s">
        <v>3516</v>
      </c>
      <c r="K128" s="79" t="str">
        <f t="shared" si="11"/>
        <v>#REF!</v>
      </c>
      <c r="L128" s="27" t="s">
        <v>3515</v>
      </c>
      <c r="M128" s="27" t="str">
        <f t="shared" si="12"/>
        <v>};</v>
      </c>
      <c r="P128" s="78"/>
      <c r="Q128" s="6">
        <v>0.0</v>
      </c>
    </row>
    <row r="129" ht="12.0" customHeight="1">
      <c r="A129" s="22"/>
      <c r="B129" s="27" t="str">
        <f t="shared" si="9"/>
        <v>#REF!</v>
      </c>
      <c r="C129" s="27"/>
      <c r="D129" s="27"/>
      <c r="E129" s="27"/>
      <c r="F129" s="27"/>
      <c r="G129" s="27" t="s">
        <v>3512</v>
      </c>
      <c r="H129" s="27" t="str">
        <f t="shared" si="10"/>
        <v>#REF!</v>
      </c>
      <c r="I129" s="27" t="s">
        <v>3515</v>
      </c>
      <c r="J129" s="27" t="s">
        <v>3516</v>
      </c>
      <c r="K129" s="79" t="str">
        <f t="shared" si="11"/>
        <v>#REF!</v>
      </c>
      <c r="L129" s="27" t="s">
        <v>3515</v>
      </c>
      <c r="M129" s="27" t="str">
        <f t="shared" si="12"/>
        <v>};</v>
      </c>
      <c r="P129" s="78"/>
      <c r="Q129" s="6">
        <v>0.0</v>
      </c>
    </row>
    <row r="130" ht="12.0" customHeight="1">
      <c r="A130" s="22"/>
      <c r="B130" s="27" t="str">
        <f t="shared" si="9"/>
        <v>#REF!</v>
      </c>
      <c r="C130" s="27"/>
      <c r="D130" s="27"/>
      <c r="E130" s="27"/>
      <c r="F130" s="27"/>
      <c r="G130" s="27" t="s">
        <v>3512</v>
      </c>
      <c r="H130" s="27" t="str">
        <f t="shared" si="10"/>
        <v>#REF!</v>
      </c>
      <c r="I130" s="27" t="s">
        <v>3515</v>
      </c>
      <c r="J130" s="27" t="s">
        <v>3516</v>
      </c>
      <c r="K130" s="79" t="str">
        <f t="shared" si="11"/>
        <v>#REF!</v>
      </c>
      <c r="L130" s="27" t="s">
        <v>3515</v>
      </c>
      <c r="M130" s="27" t="str">
        <f t="shared" si="12"/>
        <v>};</v>
      </c>
      <c r="P130" s="78"/>
      <c r="Q130" s="6">
        <v>0.0</v>
      </c>
    </row>
    <row r="131" ht="12.0" customHeight="1">
      <c r="A131" s="22"/>
      <c r="B131" s="27" t="str">
        <f t="shared" si="9"/>
        <v>#REF!</v>
      </c>
      <c r="C131" s="27"/>
      <c r="D131" s="27"/>
      <c r="E131" s="27"/>
      <c r="F131" s="27"/>
      <c r="G131" s="27" t="s">
        <v>3512</v>
      </c>
      <c r="H131" s="27" t="str">
        <f t="shared" si="10"/>
        <v>#REF!</v>
      </c>
      <c r="I131" s="27" t="s">
        <v>3515</v>
      </c>
      <c r="J131" s="27" t="s">
        <v>3516</v>
      </c>
      <c r="K131" s="79" t="str">
        <f t="shared" si="11"/>
        <v>#REF!</v>
      </c>
      <c r="L131" s="27" t="s">
        <v>3515</v>
      </c>
      <c r="M131" s="27" t="str">
        <f t="shared" si="12"/>
        <v>};</v>
      </c>
      <c r="P131" s="78"/>
      <c r="Q131" s="6">
        <v>0.0</v>
      </c>
    </row>
    <row r="132" ht="12.0" customHeight="1">
      <c r="A132" s="22"/>
      <c r="B132" s="27" t="str">
        <f t="shared" si="9"/>
        <v>#REF!</v>
      </c>
      <c r="C132" s="27"/>
      <c r="D132" s="27"/>
      <c r="E132" s="27"/>
      <c r="F132" s="27"/>
      <c r="G132" s="27" t="s">
        <v>3512</v>
      </c>
      <c r="H132" s="27" t="str">
        <f t="shared" si="10"/>
        <v>#REF!</v>
      </c>
      <c r="I132" s="27" t="s">
        <v>3515</v>
      </c>
      <c r="J132" s="27" t="s">
        <v>3516</v>
      </c>
      <c r="K132" s="79" t="str">
        <f t="shared" si="11"/>
        <v>#REF!</v>
      </c>
      <c r="L132" s="27" t="s">
        <v>3515</v>
      </c>
      <c r="M132" s="27" t="str">
        <f t="shared" si="12"/>
        <v>};</v>
      </c>
      <c r="P132" s="78"/>
      <c r="Q132" s="6">
        <v>0.0</v>
      </c>
    </row>
    <row r="133" ht="12.0" customHeight="1">
      <c r="A133" s="22"/>
      <c r="B133" s="27" t="str">
        <f t="shared" si="9"/>
        <v>#REF!</v>
      </c>
      <c r="C133" s="27"/>
      <c r="D133" s="27"/>
      <c r="E133" s="27"/>
      <c r="F133" s="27"/>
      <c r="G133" s="27" t="s">
        <v>3512</v>
      </c>
      <c r="H133" s="27" t="str">
        <f t="shared" si="10"/>
        <v>#REF!</v>
      </c>
      <c r="I133" s="27" t="s">
        <v>3515</v>
      </c>
      <c r="J133" s="27" t="s">
        <v>3516</v>
      </c>
      <c r="K133" s="79" t="str">
        <f t="shared" si="11"/>
        <v>#REF!</v>
      </c>
      <c r="L133" s="27" t="s">
        <v>3515</v>
      </c>
      <c r="M133" s="27" t="str">
        <f t="shared" si="12"/>
        <v>};</v>
      </c>
      <c r="P133" s="78"/>
      <c r="Q133" s="6">
        <v>0.0</v>
      </c>
    </row>
    <row r="134" ht="12.0" customHeight="1">
      <c r="A134" s="22"/>
      <c r="B134" s="27" t="str">
        <f t="shared" si="9"/>
        <v>#REF!</v>
      </c>
      <c r="C134" s="27"/>
      <c r="D134" s="27"/>
      <c r="E134" s="27"/>
      <c r="F134" s="27"/>
      <c r="G134" s="27" t="s">
        <v>3512</v>
      </c>
      <c r="H134" s="27" t="str">
        <f t="shared" si="10"/>
        <v>#REF!</v>
      </c>
      <c r="I134" s="27" t="s">
        <v>3515</v>
      </c>
      <c r="J134" s="27" t="s">
        <v>3516</v>
      </c>
      <c r="K134" s="79" t="str">
        <f t="shared" si="11"/>
        <v>#REF!</v>
      </c>
      <c r="L134" s="27" t="s">
        <v>3515</v>
      </c>
      <c r="M134" s="27" t="str">
        <f t="shared" si="12"/>
        <v>};</v>
      </c>
      <c r="P134" s="78"/>
      <c r="Q134" s="6">
        <v>0.0</v>
      </c>
    </row>
    <row r="135" ht="12.0" customHeight="1">
      <c r="A135" s="22"/>
      <c r="B135" s="27" t="str">
        <f t="shared" si="9"/>
        <v>#REF!</v>
      </c>
      <c r="C135" s="27"/>
      <c r="D135" s="27"/>
      <c r="E135" s="27"/>
      <c r="F135" s="27"/>
      <c r="G135" s="27" t="s">
        <v>3512</v>
      </c>
      <c r="H135" s="27" t="str">
        <f t="shared" si="10"/>
        <v>#REF!</v>
      </c>
      <c r="I135" s="27" t="s">
        <v>3515</v>
      </c>
      <c r="J135" s="27" t="s">
        <v>3516</v>
      </c>
      <c r="K135" s="79" t="str">
        <f t="shared" si="11"/>
        <v>#REF!</v>
      </c>
      <c r="L135" s="27" t="s">
        <v>3515</v>
      </c>
      <c r="M135" s="27" t="str">
        <f t="shared" si="12"/>
        <v>};</v>
      </c>
      <c r="P135" s="78"/>
      <c r="Q135" s="6">
        <v>0.0</v>
      </c>
    </row>
    <row r="136" ht="12.0" customHeight="1">
      <c r="A136" s="22"/>
      <c r="B136" s="27" t="str">
        <f t="shared" si="9"/>
        <v>#REF!</v>
      </c>
      <c r="C136" s="27"/>
      <c r="D136" s="27"/>
      <c r="E136" s="27"/>
      <c r="F136" s="27"/>
      <c r="G136" s="27" t="s">
        <v>3512</v>
      </c>
      <c r="H136" s="27" t="str">
        <f t="shared" si="10"/>
        <v>#REF!</v>
      </c>
      <c r="I136" s="27" t="s">
        <v>3515</v>
      </c>
      <c r="J136" s="27" t="s">
        <v>3516</v>
      </c>
      <c r="K136" s="79" t="str">
        <f t="shared" si="11"/>
        <v>#REF!</v>
      </c>
      <c r="L136" s="27" t="s">
        <v>3515</v>
      </c>
      <c r="M136" s="27" t="str">
        <f t="shared" si="12"/>
        <v>};</v>
      </c>
      <c r="P136" s="78"/>
      <c r="Q136" s="6">
        <v>0.0</v>
      </c>
    </row>
    <row r="137" ht="12.0" customHeight="1">
      <c r="A137" s="22"/>
      <c r="B137" s="27" t="str">
        <f t="shared" si="9"/>
        <v>#REF!</v>
      </c>
      <c r="C137" s="27"/>
      <c r="D137" s="27"/>
      <c r="E137" s="27"/>
      <c r="F137" s="27"/>
      <c r="G137" s="27" t="s">
        <v>3512</v>
      </c>
      <c r="H137" s="27" t="str">
        <f t="shared" si="10"/>
        <v>#REF!</v>
      </c>
      <c r="I137" s="27" t="s">
        <v>3515</v>
      </c>
      <c r="J137" s="27" t="s">
        <v>3516</v>
      </c>
      <c r="K137" s="79" t="str">
        <f t="shared" si="11"/>
        <v>#REF!</v>
      </c>
      <c r="L137" s="27" t="s">
        <v>3515</v>
      </c>
      <c r="M137" s="27" t="str">
        <f t="shared" si="12"/>
        <v>};</v>
      </c>
      <c r="P137" s="78"/>
      <c r="Q137" s="6">
        <v>0.0</v>
      </c>
    </row>
    <row r="138" ht="12.0" customHeight="1">
      <c r="A138" s="22"/>
      <c r="B138" s="27" t="str">
        <f t="shared" si="9"/>
        <v>#REF!</v>
      </c>
      <c r="C138" s="27"/>
      <c r="D138" s="27"/>
      <c r="E138" s="27"/>
      <c r="F138" s="27"/>
      <c r="G138" s="27" t="s">
        <v>3512</v>
      </c>
      <c r="H138" s="27" t="str">
        <f t="shared" si="10"/>
        <v>#REF!</v>
      </c>
      <c r="I138" s="27" t="s">
        <v>3515</v>
      </c>
      <c r="J138" s="27" t="s">
        <v>3516</v>
      </c>
      <c r="K138" s="79" t="str">
        <f t="shared" si="11"/>
        <v>#REF!</v>
      </c>
      <c r="L138" s="27" t="s">
        <v>3515</v>
      </c>
      <c r="M138" s="27" t="str">
        <f t="shared" si="12"/>
        <v>};</v>
      </c>
      <c r="P138" s="78"/>
      <c r="Q138" s="6">
        <v>0.0</v>
      </c>
    </row>
    <row r="139" ht="12.0" customHeight="1">
      <c r="A139" s="22"/>
      <c r="B139" s="27" t="str">
        <f t="shared" si="9"/>
        <v>#REF!</v>
      </c>
      <c r="C139" s="27"/>
      <c r="D139" s="27"/>
      <c r="E139" s="27"/>
      <c r="F139" s="27"/>
      <c r="G139" s="27" t="s">
        <v>3512</v>
      </c>
      <c r="H139" s="27" t="str">
        <f t="shared" si="10"/>
        <v>#REF!</v>
      </c>
      <c r="I139" s="27" t="s">
        <v>3515</v>
      </c>
      <c r="J139" s="27" t="s">
        <v>3516</v>
      </c>
      <c r="K139" s="79" t="str">
        <f t="shared" si="11"/>
        <v>#REF!</v>
      </c>
      <c r="L139" s="27" t="s">
        <v>3515</v>
      </c>
      <c r="M139" s="27" t="str">
        <f t="shared" si="12"/>
        <v>};</v>
      </c>
      <c r="P139" s="78"/>
      <c r="Q139" s="6">
        <v>0.0</v>
      </c>
    </row>
    <row r="140" ht="12.0" customHeight="1">
      <c r="A140" s="22"/>
      <c r="B140" s="27" t="str">
        <f t="shared" si="9"/>
        <v>#REF!</v>
      </c>
      <c r="C140" s="27"/>
      <c r="D140" s="27"/>
      <c r="E140" s="27"/>
      <c r="F140" s="27"/>
      <c r="G140" s="27" t="s">
        <v>3512</v>
      </c>
      <c r="H140" s="27" t="str">
        <f t="shared" si="10"/>
        <v>#REF!</v>
      </c>
      <c r="I140" s="27" t="s">
        <v>3515</v>
      </c>
      <c r="J140" s="27" t="s">
        <v>3516</v>
      </c>
      <c r="K140" s="79" t="str">
        <f t="shared" si="11"/>
        <v>#REF!</v>
      </c>
      <c r="L140" s="27" t="s">
        <v>3515</v>
      </c>
      <c r="M140" s="27" t="str">
        <f t="shared" si="12"/>
        <v>};</v>
      </c>
      <c r="P140" s="78"/>
      <c r="Q140" s="6">
        <v>0.0</v>
      </c>
    </row>
    <row r="141" ht="12.0" customHeight="1">
      <c r="A141" s="22"/>
      <c r="B141" s="27" t="str">
        <f t="shared" si="9"/>
        <v>#REF!</v>
      </c>
      <c r="C141" s="27"/>
      <c r="D141" s="27"/>
      <c r="E141" s="27"/>
      <c r="F141" s="27"/>
      <c r="G141" s="27" t="s">
        <v>3512</v>
      </c>
      <c r="H141" s="27" t="str">
        <f t="shared" si="10"/>
        <v>#REF!</v>
      </c>
      <c r="I141" s="27" t="s">
        <v>3515</v>
      </c>
      <c r="J141" s="27" t="s">
        <v>3516</v>
      </c>
      <c r="K141" s="79" t="str">
        <f t="shared" si="11"/>
        <v>#REF!</v>
      </c>
      <c r="L141" s="27" t="s">
        <v>3515</v>
      </c>
      <c r="M141" s="27" t="str">
        <f t="shared" si="12"/>
        <v>};</v>
      </c>
      <c r="P141" s="78"/>
      <c r="Q141" s="6">
        <v>0.0</v>
      </c>
    </row>
    <row r="142" ht="12.0" customHeight="1">
      <c r="A142" s="22"/>
      <c r="B142" s="27" t="str">
        <f t="shared" si="9"/>
        <v>#REF!</v>
      </c>
      <c r="C142" s="27"/>
      <c r="D142" s="27"/>
      <c r="E142" s="27"/>
      <c r="F142" s="27"/>
      <c r="G142" s="27" t="s">
        <v>3512</v>
      </c>
      <c r="H142" s="27" t="str">
        <f t="shared" si="10"/>
        <v>#REF!</v>
      </c>
      <c r="I142" s="27" t="s">
        <v>3515</v>
      </c>
      <c r="J142" s="27" t="s">
        <v>3516</v>
      </c>
      <c r="K142" s="79" t="str">
        <f t="shared" si="11"/>
        <v>#REF!</v>
      </c>
      <c r="L142" s="27" t="s">
        <v>3515</v>
      </c>
      <c r="M142" s="27" t="str">
        <f t="shared" si="12"/>
        <v>};</v>
      </c>
      <c r="P142" s="78"/>
      <c r="Q142" s="6">
        <v>0.0</v>
      </c>
    </row>
    <row r="143" ht="12.0" customHeight="1">
      <c r="A143" s="22"/>
      <c r="B143" s="27" t="str">
        <f t="shared" si="9"/>
        <v>#REF!</v>
      </c>
      <c r="C143" s="27"/>
      <c r="D143" s="27"/>
      <c r="E143" s="27"/>
      <c r="F143" s="27"/>
      <c r="G143" s="27" t="s">
        <v>3512</v>
      </c>
      <c r="H143" s="27" t="str">
        <f t="shared" si="10"/>
        <v>#REF!</v>
      </c>
      <c r="I143" s="27" t="s">
        <v>3515</v>
      </c>
      <c r="J143" s="27" t="s">
        <v>3516</v>
      </c>
      <c r="K143" s="79" t="str">
        <f t="shared" si="11"/>
        <v>#REF!</v>
      </c>
      <c r="L143" s="27" t="s">
        <v>3515</v>
      </c>
      <c r="M143" s="27" t="str">
        <f t="shared" si="12"/>
        <v>};</v>
      </c>
      <c r="P143" s="78"/>
      <c r="Q143" s="6">
        <v>0.0</v>
      </c>
    </row>
    <row r="144" ht="12.0" customHeight="1">
      <c r="A144" s="22"/>
      <c r="B144" s="27" t="str">
        <f t="shared" si="9"/>
        <v>#REF!</v>
      </c>
      <c r="C144" s="27"/>
      <c r="D144" s="27"/>
      <c r="E144" s="27"/>
      <c r="F144" s="27"/>
      <c r="G144" s="27" t="s">
        <v>3512</v>
      </c>
      <c r="H144" s="27" t="str">
        <f t="shared" si="10"/>
        <v>#REF!</v>
      </c>
      <c r="I144" s="27" t="s">
        <v>3515</v>
      </c>
      <c r="J144" s="27" t="s">
        <v>3516</v>
      </c>
      <c r="K144" s="79" t="str">
        <f t="shared" si="11"/>
        <v>#REF!</v>
      </c>
      <c r="L144" s="27" t="s">
        <v>3515</v>
      </c>
      <c r="M144" s="27" t="str">
        <f t="shared" si="12"/>
        <v>};</v>
      </c>
      <c r="P144" s="78"/>
      <c r="Q144" s="6">
        <v>0.0</v>
      </c>
    </row>
    <row r="145" ht="12.0" customHeight="1">
      <c r="A145" s="22"/>
      <c r="B145" s="27" t="str">
        <f t="shared" si="9"/>
        <v>#REF!</v>
      </c>
      <c r="C145" s="27"/>
      <c r="D145" s="27"/>
      <c r="E145" s="27"/>
      <c r="F145" s="27"/>
      <c r="G145" s="27" t="s">
        <v>3512</v>
      </c>
      <c r="H145" s="27" t="str">
        <f t="shared" si="10"/>
        <v>#REF!</v>
      </c>
      <c r="I145" s="27" t="s">
        <v>3515</v>
      </c>
      <c r="J145" s="27" t="s">
        <v>3516</v>
      </c>
      <c r="K145" s="79" t="str">
        <f t="shared" si="11"/>
        <v>#REF!</v>
      </c>
      <c r="L145" s="27" t="s">
        <v>3515</v>
      </c>
      <c r="M145" s="27" t="str">
        <f t="shared" si="12"/>
        <v>};</v>
      </c>
      <c r="P145" s="78"/>
      <c r="Q145" s="6">
        <v>0.0</v>
      </c>
    </row>
    <row r="146" ht="12.0" customHeight="1">
      <c r="A146" s="22"/>
      <c r="B146" s="27" t="str">
        <f t="shared" si="9"/>
        <v>#REF!</v>
      </c>
      <c r="C146" s="27"/>
      <c r="D146" s="27"/>
      <c r="E146" s="27"/>
      <c r="F146" s="27"/>
      <c r="G146" s="27" t="s">
        <v>3512</v>
      </c>
      <c r="H146" s="27" t="str">
        <f t="shared" si="10"/>
        <v>#REF!</v>
      </c>
      <c r="I146" s="27" t="s">
        <v>3515</v>
      </c>
      <c r="J146" s="27" t="s">
        <v>3516</v>
      </c>
      <c r="K146" s="79" t="str">
        <f t="shared" si="11"/>
        <v>#REF!</v>
      </c>
      <c r="L146" s="27" t="s">
        <v>3515</v>
      </c>
      <c r="M146" s="27" t="str">
        <f t="shared" si="12"/>
        <v>};</v>
      </c>
      <c r="P146" s="78"/>
      <c r="Q146" s="6">
        <v>0.0</v>
      </c>
    </row>
    <row r="147" ht="12.0" customHeight="1">
      <c r="A147" s="22"/>
      <c r="B147" s="27" t="str">
        <f t="shared" si="9"/>
        <v>#REF!</v>
      </c>
      <c r="C147" s="27"/>
      <c r="D147" s="27"/>
      <c r="E147" s="27"/>
      <c r="F147" s="27"/>
      <c r="G147" s="27" t="s">
        <v>3512</v>
      </c>
      <c r="H147" s="27" t="str">
        <f t="shared" si="10"/>
        <v>#REF!</v>
      </c>
      <c r="I147" s="27" t="s">
        <v>3515</v>
      </c>
      <c r="J147" s="27" t="s">
        <v>3516</v>
      </c>
      <c r="K147" s="79" t="str">
        <f t="shared" si="11"/>
        <v>#REF!</v>
      </c>
      <c r="L147" s="27" t="s">
        <v>3515</v>
      </c>
      <c r="M147" s="27" t="str">
        <f t="shared" si="12"/>
        <v>};</v>
      </c>
      <c r="P147" s="78"/>
      <c r="Q147" s="6">
        <v>0.0</v>
      </c>
    </row>
    <row r="148" ht="12.0" customHeight="1">
      <c r="A148" s="22"/>
      <c r="B148" s="27" t="str">
        <f t="shared" si="9"/>
        <v>#REF!</v>
      </c>
      <c r="C148" s="27"/>
      <c r="D148" s="27"/>
      <c r="E148" s="27"/>
      <c r="F148" s="27"/>
      <c r="G148" s="27" t="s">
        <v>3512</v>
      </c>
      <c r="H148" s="27" t="str">
        <f t="shared" si="10"/>
        <v>#REF!</v>
      </c>
      <c r="I148" s="27" t="s">
        <v>3515</v>
      </c>
      <c r="J148" s="27" t="s">
        <v>3516</v>
      </c>
      <c r="K148" s="79" t="str">
        <f t="shared" si="11"/>
        <v>#REF!</v>
      </c>
      <c r="L148" s="27" t="s">
        <v>3515</v>
      </c>
      <c r="M148" s="27" t="str">
        <f t="shared" si="12"/>
        <v>};</v>
      </c>
      <c r="P148" s="78"/>
      <c r="Q148" s="6">
        <v>0.0</v>
      </c>
    </row>
    <row r="149" ht="12.0" customHeight="1">
      <c r="A149" s="22"/>
      <c r="B149" s="27" t="str">
        <f t="shared" si="9"/>
        <v>#REF!</v>
      </c>
      <c r="C149" s="27"/>
      <c r="D149" s="27"/>
      <c r="E149" s="27"/>
      <c r="F149" s="27"/>
      <c r="G149" s="27" t="s">
        <v>3512</v>
      </c>
      <c r="H149" s="27" t="str">
        <f t="shared" si="10"/>
        <v>#REF!</v>
      </c>
      <c r="I149" s="27" t="s">
        <v>3515</v>
      </c>
      <c r="J149" s="27" t="s">
        <v>3516</v>
      </c>
      <c r="K149" s="79" t="str">
        <f t="shared" si="11"/>
        <v>#REF!</v>
      </c>
      <c r="L149" s="27" t="s">
        <v>3515</v>
      </c>
      <c r="M149" s="27" t="str">
        <f t="shared" si="12"/>
        <v>};</v>
      </c>
      <c r="P149" s="78"/>
      <c r="Q149" s="6">
        <v>0.0</v>
      </c>
    </row>
    <row r="150" ht="12.0" customHeight="1">
      <c r="A150" s="22"/>
      <c r="B150" s="27" t="str">
        <f t="shared" si="9"/>
        <v>#REF!</v>
      </c>
      <c r="C150" s="27"/>
      <c r="D150" s="27"/>
      <c r="E150" s="27"/>
      <c r="F150" s="27"/>
      <c r="G150" s="27" t="s">
        <v>3512</v>
      </c>
      <c r="H150" s="27" t="str">
        <f t="shared" si="10"/>
        <v>#REF!</v>
      </c>
      <c r="I150" s="27" t="s">
        <v>3515</v>
      </c>
      <c r="J150" s="27" t="s">
        <v>3516</v>
      </c>
      <c r="K150" s="79" t="str">
        <f t="shared" si="11"/>
        <v>#REF!</v>
      </c>
      <c r="L150" s="27" t="s">
        <v>3515</v>
      </c>
      <c r="M150" s="27" t="str">
        <f t="shared" si="12"/>
        <v>};</v>
      </c>
      <c r="P150" s="78"/>
      <c r="Q150" s="6">
        <v>0.0</v>
      </c>
    </row>
    <row r="151" ht="12.0" customHeight="1">
      <c r="A151" s="22"/>
      <c r="B151" s="27" t="str">
        <f t="shared" si="9"/>
        <v>#REF!</v>
      </c>
      <c r="C151" s="27"/>
      <c r="D151" s="27"/>
      <c r="E151" s="27"/>
      <c r="F151" s="27"/>
      <c r="G151" s="27" t="s">
        <v>3512</v>
      </c>
      <c r="H151" s="27" t="str">
        <f t="shared" si="10"/>
        <v>#REF!</v>
      </c>
      <c r="I151" s="27" t="s">
        <v>3515</v>
      </c>
      <c r="J151" s="27" t="s">
        <v>3516</v>
      </c>
      <c r="K151" s="79" t="str">
        <f t="shared" si="11"/>
        <v>#REF!</v>
      </c>
      <c r="L151" s="27" t="s">
        <v>3515</v>
      </c>
      <c r="M151" s="27" t="str">
        <f t="shared" si="12"/>
        <v>};</v>
      </c>
      <c r="P151" s="78"/>
      <c r="Q151" s="6">
        <v>0.0</v>
      </c>
    </row>
    <row r="152" ht="12.0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P152" s="78"/>
    </row>
    <row r="153" ht="12.0" customHeight="1">
      <c r="A153" s="22"/>
      <c r="B153" s="22" t="s">
        <v>174</v>
      </c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P153" s="78"/>
    </row>
    <row r="154" ht="12.0" customHeight="1">
      <c r="A154" s="22"/>
      <c r="B154" s="22" t="s">
        <v>379</v>
      </c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P154" s="78"/>
    </row>
    <row r="155" ht="12.0" customHeight="1">
      <c r="A155" s="22"/>
      <c r="B155" s="22" t="s">
        <v>174</v>
      </c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P155" s="78"/>
    </row>
    <row r="156" ht="12.0" customHeight="1">
      <c r="A156" s="22"/>
      <c r="B156" s="27" t="str">
        <f t="shared" ref="B156:B195" si="13">'Exile INPUT'!C160</f>
        <v>#REF!</v>
      </c>
      <c r="C156" s="27"/>
      <c r="D156" s="27"/>
      <c r="E156" s="27"/>
      <c r="F156" s="27"/>
      <c r="G156" s="27" t="s">
        <v>3512</v>
      </c>
      <c r="H156" s="27" t="str">
        <f t="shared" ref="H156:H195" si="14">'Exile INPUT'!E160</f>
        <v>#REF!</v>
      </c>
      <c r="I156" s="27" t="s">
        <v>3515</v>
      </c>
      <c r="J156" s="27" t="s">
        <v>3516</v>
      </c>
      <c r="K156" s="79" t="str">
        <f t="shared" ref="K156:K195" si="15">'Exile INPUT'!J160</f>
        <v>#REF!</v>
      </c>
      <c r="L156" s="27" t="s">
        <v>3515</v>
      </c>
      <c r="M156" s="27" t="str">
        <f t="shared" ref="M156:M195" si="16">IF(Q156 = 0, "};",CONCATENATE("sellPrice = ",Q156,"; };"))</f>
        <v>};</v>
      </c>
      <c r="P156" s="78"/>
      <c r="Q156" s="6">
        <v>0.0</v>
      </c>
    </row>
    <row r="157" ht="12.0" customHeight="1">
      <c r="A157" s="22"/>
      <c r="B157" s="27" t="str">
        <f t="shared" si="13"/>
        <v>#REF!</v>
      </c>
      <c r="C157" s="27"/>
      <c r="D157" s="27"/>
      <c r="E157" s="27"/>
      <c r="F157" s="27"/>
      <c r="G157" s="27" t="s">
        <v>3512</v>
      </c>
      <c r="H157" s="27" t="str">
        <f t="shared" si="14"/>
        <v>#REF!</v>
      </c>
      <c r="I157" s="27" t="s">
        <v>3515</v>
      </c>
      <c r="J157" s="27" t="s">
        <v>3516</v>
      </c>
      <c r="K157" s="79" t="str">
        <f t="shared" si="15"/>
        <v>#REF!</v>
      </c>
      <c r="L157" s="27" t="s">
        <v>3515</v>
      </c>
      <c r="M157" s="27" t="str">
        <f t="shared" si="16"/>
        <v>};</v>
      </c>
      <c r="P157" s="78"/>
      <c r="Q157" s="6">
        <v>0.0</v>
      </c>
    </row>
    <row r="158" ht="12.0" customHeight="1">
      <c r="A158" s="22"/>
      <c r="B158" s="27" t="str">
        <f t="shared" si="13"/>
        <v>#REF!</v>
      </c>
      <c r="C158" s="27"/>
      <c r="D158" s="27"/>
      <c r="E158" s="27"/>
      <c r="F158" s="27"/>
      <c r="G158" s="27" t="s">
        <v>3512</v>
      </c>
      <c r="H158" s="27" t="str">
        <f t="shared" si="14"/>
        <v>#REF!</v>
      </c>
      <c r="I158" s="27" t="s">
        <v>3515</v>
      </c>
      <c r="J158" s="27" t="s">
        <v>3516</v>
      </c>
      <c r="K158" s="79" t="str">
        <f t="shared" si="15"/>
        <v>#REF!</v>
      </c>
      <c r="L158" s="27" t="s">
        <v>3515</v>
      </c>
      <c r="M158" s="27" t="str">
        <f t="shared" si="16"/>
        <v>};</v>
      </c>
      <c r="P158" s="78"/>
      <c r="Q158" s="6">
        <v>0.0</v>
      </c>
    </row>
    <row r="159" ht="12.0" customHeight="1">
      <c r="A159" s="22"/>
      <c r="B159" s="27" t="str">
        <f t="shared" si="13"/>
        <v>#REF!</v>
      </c>
      <c r="C159" s="27"/>
      <c r="D159" s="27"/>
      <c r="E159" s="27"/>
      <c r="F159" s="27"/>
      <c r="G159" s="27" t="s">
        <v>3512</v>
      </c>
      <c r="H159" s="27" t="str">
        <f t="shared" si="14"/>
        <v>#REF!</v>
      </c>
      <c r="I159" s="27" t="s">
        <v>3515</v>
      </c>
      <c r="J159" s="27" t="s">
        <v>3516</v>
      </c>
      <c r="K159" s="79" t="str">
        <f t="shared" si="15"/>
        <v>#REF!</v>
      </c>
      <c r="L159" s="27" t="s">
        <v>3515</v>
      </c>
      <c r="M159" s="27" t="str">
        <f t="shared" si="16"/>
        <v>};</v>
      </c>
      <c r="P159" s="78"/>
      <c r="Q159" s="6">
        <v>0.0</v>
      </c>
    </row>
    <row r="160" ht="12.0" customHeight="1">
      <c r="A160" s="22"/>
      <c r="B160" s="27" t="str">
        <f t="shared" si="13"/>
        <v>#REF!</v>
      </c>
      <c r="C160" s="27"/>
      <c r="D160" s="27"/>
      <c r="E160" s="27"/>
      <c r="F160" s="27"/>
      <c r="G160" s="27" t="s">
        <v>3512</v>
      </c>
      <c r="H160" s="27" t="str">
        <f t="shared" si="14"/>
        <v>#REF!</v>
      </c>
      <c r="I160" s="27" t="s">
        <v>3515</v>
      </c>
      <c r="J160" s="27" t="s">
        <v>3516</v>
      </c>
      <c r="K160" s="79" t="str">
        <f t="shared" si="15"/>
        <v>#REF!</v>
      </c>
      <c r="L160" s="27" t="s">
        <v>3515</v>
      </c>
      <c r="M160" s="27" t="str">
        <f t="shared" si="16"/>
        <v>};</v>
      </c>
      <c r="P160" s="78"/>
      <c r="Q160" s="6">
        <v>0.0</v>
      </c>
    </row>
    <row r="161" ht="12.0" customHeight="1">
      <c r="A161" s="22"/>
      <c r="B161" s="27" t="str">
        <f t="shared" si="13"/>
        <v>#REF!</v>
      </c>
      <c r="C161" s="27"/>
      <c r="D161" s="27"/>
      <c r="E161" s="27"/>
      <c r="F161" s="27"/>
      <c r="G161" s="27" t="s">
        <v>3512</v>
      </c>
      <c r="H161" s="27" t="str">
        <f t="shared" si="14"/>
        <v>#REF!</v>
      </c>
      <c r="I161" s="27" t="s">
        <v>3515</v>
      </c>
      <c r="J161" s="27" t="s">
        <v>3516</v>
      </c>
      <c r="K161" s="79" t="str">
        <f t="shared" si="15"/>
        <v>#REF!</v>
      </c>
      <c r="L161" s="27" t="s">
        <v>3515</v>
      </c>
      <c r="M161" s="27" t="str">
        <f t="shared" si="16"/>
        <v>};</v>
      </c>
      <c r="P161" s="78"/>
      <c r="Q161" s="6">
        <v>0.0</v>
      </c>
    </row>
    <row r="162" ht="12.0" customHeight="1">
      <c r="A162" s="22"/>
      <c r="B162" s="27" t="str">
        <f t="shared" si="13"/>
        <v>#REF!</v>
      </c>
      <c r="C162" s="27"/>
      <c r="D162" s="27"/>
      <c r="E162" s="27"/>
      <c r="F162" s="27"/>
      <c r="G162" s="27" t="s">
        <v>3512</v>
      </c>
      <c r="H162" s="27" t="str">
        <f t="shared" si="14"/>
        <v>#REF!</v>
      </c>
      <c r="I162" s="27" t="s">
        <v>3515</v>
      </c>
      <c r="J162" s="27" t="s">
        <v>3516</v>
      </c>
      <c r="K162" s="79" t="str">
        <f t="shared" si="15"/>
        <v>#REF!</v>
      </c>
      <c r="L162" s="27" t="s">
        <v>3515</v>
      </c>
      <c r="M162" s="27" t="str">
        <f t="shared" si="16"/>
        <v>};</v>
      </c>
      <c r="P162" s="78"/>
      <c r="Q162" s="6">
        <v>0.0</v>
      </c>
    </row>
    <row r="163" ht="12.0" customHeight="1">
      <c r="A163" s="22"/>
      <c r="B163" s="27" t="str">
        <f t="shared" si="13"/>
        <v>#REF!</v>
      </c>
      <c r="C163" s="27"/>
      <c r="D163" s="27"/>
      <c r="E163" s="27"/>
      <c r="F163" s="27"/>
      <c r="G163" s="27" t="s">
        <v>3512</v>
      </c>
      <c r="H163" s="27" t="str">
        <f t="shared" si="14"/>
        <v>#REF!</v>
      </c>
      <c r="I163" s="27" t="s">
        <v>3515</v>
      </c>
      <c r="J163" s="27" t="s">
        <v>3516</v>
      </c>
      <c r="K163" s="79" t="str">
        <f t="shared" si="15"/>
        <v>#REF!</v>
      </c>
      <c r="L163" s="27" t="s">
        <v>3515</v>
      </c>
      <c r="M163" s="27" t="str">
        <f t="shared" si="16"/>
        <v>};</v>
      </c>
      <c r="P163" s="78"/>
      <c r="Q163" s="6">
        <v>0.0</v>
      </c>
    </row>
    <row r="164" ht="12.0" customHeight="1">
      <c r="A164" s="22"/>
      <c r="B164" s="27" t="str">
        <f t="shared" si="13"/>
        <v>#REF!</v>
      </c>
      <c r="C164" s="27"/>
      <c r="D164" s="27"/>
      <c r="E164" s="27"/>
      <c r="F164" s="27"/>
      <c r="G164" s="27" t="s">
        <v>3512</v>
      </c>
      <c r="H164" s="27" t="str">
        <f t="shared" si="14"/>
        <v>#REF!</v>
      </c>
      <c r="I164" s="27" t="s">
        <v>3515</v>
      </c>
      <c r="J164" s="27" t="s">
        <v>3516</v>
      </c>
      <c r="K164" s="79" t="str">
        <f t="shared" si="15"/>
        <v>#REF!</v>
      </c>
      <c r="L164" s="27" t="s">
        <v>3515</v>
      </c>
      <c r="M164" s="27" t="str">
        <f t="shared" si="16"/>
        <v>};</v>
      </c>
      <c r="P164" s="78"/>
      <c r="Q164" s="6">
        <v>0.0</v>
      </c>
    </row>
    <row r="165" ht="12.0" customHeight="1">
      <c r="A165" s="22"/>
      <c r="B165" s="27" t="str">
        <f t="shared" si="13"/>
        <v>#REF!</v>
      </c>
      <c r="C165" s="27"/>
      <c r="D165" s="27"/>
      <c r="E165" s="27"/>
      <c r="F165" s="27"/>
      <c r="G165" s="27" t="s">
        <v>3512</v>
      </c>
      <c r="H165" s="27" t="str">
        <f t="shared" si="14"/>
        <v>#REF!</v>
      </c>
      <c r="I165" s="27" t="s">
        <v>3515</v>
      </c>
      <c r="J165" s="27" t="s">
        <v>3516</v>
      </c>
      <c r="K165" s="79" t="str">
        <f t="shared" si="15"/>
        <v>#REF!</v>
      </c>
      <c r="L165" s="27" t="s">
        <v>3515</v>
      </c>
      <c r="M165" s="27" t="str">
        <f t="shared" si="16"/>
        <v>};</v>
      </c>
      <c r="P165" s="78"/>
      <c r="Q165" s="6">
        <v>0.0</v>
      </c>
    </row>
    <row r="166" ht="12.0" customHeight="1">
      <c r="A166" s="22"/>
      <c r="B166" s="27" t="str">
        <f t="shared" si="13"/>
        <v>#REF!</v>
      </c>
      <c r="C166" s="27"/>
      <c r="D166" s="27"/>
      <c r="E166" s="27"/>
      <c r="F166" s="27"/>
      <c r="G166" s="27" t="s">
        <v>3512</v>
      </c>
      <c r="H166" s="27" t="str">
        <f t="shared" si="14"/>
        <v>#REF!</v>
      </c>
      <c r="I166" s="27" t="s">
        <v>3515</v>
      </c>
      <c r="J166" s="27" t="s">
        <v>3516</v>
      </c>
      <c r="K166" s="79" t="str">
        <f t="shared" si="15"/>
        <v>#REF!</v>
      </c>
      <c r="L166" s="27" t="s">
        <v>3515</v>
      </c>
      <c r="M166" s="27" t="str">
        <f t="shared" si="16"/>
        <v>};</v>
      </c>
      <c r="P166" s="78"/>
      <c r="Q166" s="6">
        <v>0.0</v>
      </c>
    </row>
    <row r="167" ht="12.0" customHeight="1">
      <c r="A167" s="22"/>
      <c r="B167" s="27" t="str">
        <f t="shared" si="13"/>
        <v>#REF!</v>
      </c>
      <c r="C167" s="27"/>
      <c r="D167" s="27"/>
      <c r="E167" s="27"/>
      <c r="F167" s="27"/>
      <c r="G167" s="27" t="s">
        <v>3512</v>
      </c>
      <c r="H167" s="27" t="str">
        <f t="shared" si="14"/>
        <v>#REF!</v>
      </c>
      <c r="I167" s="27" t="s">
        <v>3515</v>
      </c>
      <c r="J167" s="27" t="s">
        <v>3516</v>
      </c>
      <c r="K167" s="79" t="str">
        <f t="shared" si="15"/>
        <v>#REF!</v>
      </c>
      <c r="L167" s="27" t="s">
        <v>3515</v>
      </c>
      <c r="M167" s="27" t="str">
        <f t="shared" si="16"/>
        <v>};</v>
      </c>
      <c r="P167" s="78"/>
      <c r="Q167" s="6">
        <v>0.0</v>
      </c>
    </row>
    <row r="168" ht="12.0" customHeight="1">
      <c r="A168" s="22"/>
      <c r="B168" s="27" t="str">
        <f t="shared" si="13"/>
        <v>#REF!</v>
      </c>
      <c r="C168" s="27"/>
      <c r="D168" s="27"/>
      <c r="E168" s="27"/>
      <c r="F168" s="27"/>
      <c r="G168" s="27" t="s">
        <v>3512</v>
      </c>
      <c r="H168" s="27" t="str">
        <f t="shared" si="14"/>
        <v>#REF!</v>
      </c>
      <c r="I168" s="27" t="s">
        <v>3515</v>
      </c>
      <c r="J168" s="27" t="s">
        <v>3516</v>
      </c>
      <c r="K168" s="79" t="str">
        <f t="shared" si="15"/>
        <v>#REF!</v>
      </c>
      <c r="L168" s="27" t="s">
        <v>3515</v>
      </c>
      <c r="M168" s="27" t="str">
        <f t="shared" si="16"/>
        <v>};</v>
      </c>
      <c r="P168" s="78"/>
      <c r="Q168" s="6">
        <v>0.0</v>
      </c>
    </row>
    <row r="169" ht="12.0" customHeight="1">
      <c r="A169" s="22"/>
      <c r="B169" s="27" t="str">
        <f t="shared" si="13"/>
        <v>#REF!</v>
      </c>
      <c r="C169" s="27"/>
      <c r="D169" s="27"/>
      <c r="E169" s="27"/>
      <c r="F169" s="27"/>
      <c r="G169" s="27" t="s">
        <v>3512</v>
      </c>
      <c r="H169" s="27" t="str">
        <f t="shared" si="14"/>
        <v>#REF!</v>
      </c>
      <c r="I169" s="27" t="s">
        <v>3515</v>
      </c>
      <c r="J169" s="27" t="s">
        <v>3516</v>
      </c>
      <c r="K169" s="79" t="str">
        <f t="shared" si="15"/>
        <v>#REF!</v>
      </c>
      <c r="L169" s="27" t="s">
        <v>3515</v>
      </c>
      <c r="M169" s="27" t="str">
        <f t="shared" si="16"/>
        <v>};</v>
      </c>
      <c r="P169" s="78"/>
      <c r="Q169" s="6">
        <v>0.0</v>
      </c>
    </row>
    <row r="170" ht="12.0" customHeight="1">
      <c r="A170" s="22"/>
      <c r="B170" s="27" t="str">
        <f t="shared" si="13"/>
        <v>#REF!</v>
      </c>
      <c r="C170" s="27"/>
      <c r="D170" s="27"/>
      <c r="E170" s="27"/>
      <c r="F170" s="27"/>
      <c r="G170" s="27" t="s">
        <v>3512</v>
      </c>
      <c r="H170" s="27" t="str">
        <f t="shared" si="14"/>
        <v>#REF!</v>
      </c>
      <c r="I170" s="27" t="s">
        <v>3515</v>
      </c>
      <c r="J170" s="27" t="s">
        <v>3516</v>
      </c>
      <c r="K170" s="79" t="str">
        <f t="shared" si="15"/>
        <v>#REF!</v>
      </c>
      <c r="L170" s="27" t="s">
        <v>3515</v>
      </c>
      <c r="M170" s="27" t="str">
        <f t="shared" si="16"/>
        <v>};</v>
      </c>
      <c r="P170" s="78"/>
      <c r="Q170" s="6">
        <v>0.0</v>
      </c>
    </row>
    <row r="171" ht="12.0" customHeight="1">
      <c r="A171" s="22"/>
      <c r="B171" s="27" t="str">
        <f t="shared" si="13"/>
        <v>#REF!</v>
      </c>
      <c r="C171" s="27"/>
      <c r="D171" s="27"/>
      <c r="E171" s="27"/>
      <c r="F171" s="27"/>
      <c r="G171" s="27" t="s">
        <v>3512</v>
      </c>
      <c r="H171" s="27" t="str">
        <f t="shared" si="14"/>
        <v>#REF!</v>
      </c>
      <c r="I171" s="27" t="s">
        <v>3515</v>
      </c>
      <c r="J171" s="27" t="s">
        <v>3516</v>
      </c>
      <c r="K171" s="79" t="str">
        <f t="shared" si="15"/>
        <v>#REF!</v>
      </c>
      <c r="L171" s="27" t="s">
        <v>3515</v>
      </c>
      <c r="M171" s="27" t="str">
        <f t="shared" si="16"/>
        <v>};</v>
      </c>
      <c r="P171" s="78"/>
      <c r="Q171" s="6">
        <v>0.0</v>
      </c>
    </row>
    <row r="172" ht="12.0" customHeight="1">
      <c r="A172" s="22"/>
      <c r="B172" s="27" t="str">
        <f t="shared" si="13"/>
        <v>#REF!</v>
      </c>
      <c r="C172" s="27"/>
      <c r="D172" s="27"/>
      <c r="E172" s="27"/>
      <c r="F172" s="27"/>
      <c r="G172" s="27" t="s">
        <v>3512</v>
      </c>
      <c r="H172" s="27" t="str">
        <f t="shared" si="14"/>
        <v>#REF!</v>
      </c>
      <c r="I172" s="27" t="s">
        <v>3515</v>
      </c>
      <c r="J172" s="27" t="s">
        <v>3516</v>
      </c>
      <c r="K172" s="79" t="str">
        <f t="shared" si="15"/>
        <v>#REF!</v>
      </c>
      <c r="L172" s="27" t="s">
        <v>3515</v>
      </c>
      <c r="M172" s="27" t="str">
        <f t="shared" si="16"/>
        <v>};</v>
      </c>
      <c r="P172" s="78"/>
      <c r="Q172" s="6">
        <v>0.0</v>
      </c>
    </row>
    <row r="173" ht="12.0" customHeight="1">
      <c r="A173" s="22"/>
      <c r="B173" s="27" t="str">
        <f t="shared" si="13"/>
        <v>#REF!</v>
      </c>
      <c r="C173" s="27"/>
      <c r="D173" s="27"/>
      <c r="E173" s="27"/>
      <c r="F173" s="27"/>
      <c r="G173" s="27" t="s">
        <v>3512</v>
      </c>
      <c r="H173" s="27" t="str">
        <f t="shared" si="14"/>
        <v>#REF!</v>
      </c>
      <c r="I173" s="27" t="s">
        <v>3515</v>
      </c>
      <c r="J173" s="27" t="s">
        <v>3516</v>
      </c>
      <c r="K173" s="79" t="str">
        <f t="shared" si="15"/>
        <v>#REF!</v>
      </c>
      <c r="L173" s="27" t="s">
        <v>3515</v>
      </c>
      <c r="M173" s="27" t="str">
        <f t="shared" si="16"/>
        <v>};</v>
      </c>
      <c r="P173" s="78"/>
      <c r="Q173" s="6">
        <v>0.0</v>
      </c>
    </row>
    <row r="174" ht="12.0" customHeight="1">
      <c r="A174" s="22"/>
      <c r="B174" s="27" t="str">
        <f t="shared" si="13"/>
        <v>#REF!</v>
      </c>
      <c r="C174" s="27"/>
      <c r="D174" s="27"/>
      <c r="E174" s="27"/>
      <c r="F174" s="27"/>
      <c r="G174" s="27" t="s">
        <v>3512</v>
      </c>
      <c r="H174" s="27" t="str">
        <f t="shared" si="14"/>
        <v>#REF!</v>
      </c>
      <c r="I174" s="27" t="s">
        <v>3515</v>
      </c>
      <c r="J174" s="27" t="s">
        <v>3516</v>
      </c>
      <c r="K174" s="79" t="str">
        <f t="shared" si="15"/>
        <v>#REF!</v>
      </c>
      <c r="L174" s="27" t="s">
        <v>3515</v>
      </c>
      <c r="M174" s="27" t="str">
        <f t="shared" si="16"/>
        <v>};</v>
      </c>
      <c r="P174" s="78"/>
      <c r="Q174" s="6">
        <v>0.0</v>
      </c>
    </row>
    <row r="175" ht="12.0" customHeight="1">
      <c r="A175" s="22"/>
      <c r="B175" s="27" t="str">
        <f t="shared" si="13"/>
        <v>#REF!</v>
      </c>
      <c r="C175" s="27"/>
      <c r="D175" s="27"/>
      <c r="E175" s="27"/>
      <c r="F175" s="27"/>
      <c r="G175" s="27" t="s">
        <v>3512</v>
      </c>
      <c r="H175" s="27" t="str">
        <f t="shared" si="14"/>
        <v>#REF!</v>
      </c>
      <c r="I175" s="27" t="s">
        <v>3515</v>
      </c>
      <c r="J175" s="27" t="s">
        <v>3516</v>
      </c>
      <c r="K175" s="79" t="str">
        <f t="shared" si="15"/>
        <v>#REF!</v>
      </c>
      <c r="L175" s="27" t="s">
        <v>3515</v>
      </c>
      <c r="M175" s="27" t="str">
        <f t="shared" si="16"/>
        <v>};</v>
      </c>
      <c r="P175" s="78"/>
      <c r="Q175" s="6">
        <v>0.0</v>
      </c>
    </row>
    <row r="176" ht="12.0" customHeight="1">
      <c r="A176" s="22"/>
      <c r="B176" s="27" t="str">
        <f t="shared" si="13"/>
        <v>#REF!</v>
      </c>
      <c r="C176" s="27"/>
      <c r="D176" s="27"/>
      <c r="E176" s="27"/>
      <c r="F176" s="27"/>
      <c r="G176" s="27" t="s">
        <v>3512</v>
      </c>
      <c r="H176" s="27" t="str">
        <f t="shared" si="14"/>
        <v>#REF!</v>
      </c>
      <c r="I176" s="27" t="s">
        <v>3515</v>
      </c>
      <c r="J176" s="27" t="s">
        <v>3516</v>
      </c>
      <c r="K176" s="79" t="str">
        <f t="shared" si="15"/>
        <v>#REF!</v>
      </c>
      <c r="L176" s="27" t="s">
        <v>3515</v>
      </c>
      <c r="M176" s="27" t="str">
        <f t="shared" si="16"/>
        <v>};</v>
      </c>
      <c r="P176" s="78"/>
      <c r="Q176" s="6">
        <v>0.0</v>
      </c>
    </row>
    <row r="177" ht="12.0" customHeight="1">
      <c r="A177" s="22"/>
      <c r="B177" s="27" t="str">
        <f t="shared" si="13"/>
        <v>#REF!</v>
      </c>
      <c r="C177" s="27"/>
      <c r="D177" s="27"/>
      <c r="E177" s="27"/>
      <c r="F177" s="27"/>
      <c r="G177" s="27" t="s">
        <v>3512</v>
      </c>
      <c r="H177" s="27" t="str">
        <f t="shared" si="14"/>
        <v>#REF!</v>
      </c>
      <c r="I177" s="27" t="s">
        <v>3515</v>
      </c>
      <c r="J177" s="27" t="s">
        <v>3516</v>
      </c>
      <c r="K177" s="79" t="str">
        <f t="shared" si="15"/>
        <v>#REF!</v>
      </c>
      <c r="L177" s="27" t="s">
        <v>3515</v>
      </c>
      <c r="M177" s="27" t="str">
        <f t="shared" si="16"/>
        <v>};</v>
      </c>
      <c r="P177" s="78"/>
      <c r="Q177" s="6">
        <v>0.0</v>
      </c>
    </row>
    <row r="178" ht="12.0" customHeight="1">
      <c r="A178" s="22"/>
      <c r="B178" s="27" t="str">
        <f t="shared" si="13"/>
        <v>#REF!</v>
      </c>
      <c r="C178" s="27"/>
      <c r="D178" s="27"/>
      <c r="E178" s="27"/>
      <c r="F178" s="27"/>
      <c r="G178" s="27" t="s">
        <v>3512</v>
      </c>
      <c r="H178" s="27" t="str">
        <f t="shared" si="14"/>
        <v>#REF!</v>
      </c>
      <c r="I178" s="27" t="s">
        <v>3515</v>
      </c>
      <c r="J178" s="27" t="s">
        <v>3516</v>
      </c>
      <c r="K178" s="79" t="str">
        <f t="shared" si="15"/>
        <v>#REF!</v>
      </c>
      <c r="L178" s="27" t="s">
        <v>3515</v>
      </c>
      <c r="M178" s="27" t="str">
        <f t="shared" si="16"/>
        <v>};</v>
      </c>
      <c r="P178" s="78"/>
      <c r="Q178" s="6">
        <v>0.0</v>
      </c>
    </row>
    <row r="179" ht="12.0" customHeight="1">
      <c r="A179" s="22"/>
      <c r="B179" s="27" t="str">
        <f t="shared" si="13"/>
        <v>#REF!</v>
      </c>
      <c r="C179" s="27"/>
      <c r="D179" s="27"/>
      <c r="E179" s="27"/>
      <c r="F179" s="27"/>
      <c r="G179" s="27" t="s">
        <v>3512</v>
      </c>
      <c r="H179" s="27" t="str">
        <f t="shared" si="14"/>
        <v>#REF!</v>
      </c>
      <c r="I179" s="27" t="s">
        <v>3515</v>
      </c>
      <c r="J179" s="27" t="s">
        <v>3516</v>
      </c>
      <c r="K179" s="79" t="str">
        <f t="shared" si="15"/>
        <v>#REF!</v>
      </c>
      <c r="L179" s="27" t="s">
        <v>3515</v>
      </c>
      <c r="M179" s="27" t="str">
        <f t="shared" si="16"/>
        <v>};</v>
      </c>
      <c r="P179" s="78"/>
      <c r="Q179" s="6">
        <v>0.0</v>
      </c>
    </row>
    <row r="180" ht="12.0" customHeight="1">
      <c r="A180" s="22"/>
      <c r="B180" s="27" t="str">
        <f t="shared" si="13"/>
        <v>#REF!</v>
      </c>
      <c r="C180" s="27"/>
      <c r="D180" s="27"/>
      <c r="E180" s="27"/>
      <c r="F180" s="27"/>
      <c r="G180" s="27" t="s">
        <v>3512</v>
      </c>
      <c r="H180" s="27" t="str">
        <f t="shared" si="14"/>
        <v>#REF!</v>
      </c>
      <c r="I180" s="27" t="s">
        <v>3515</v>
      </c>
      <c r="J180" s="27" t="s">
        <v>3516</v>
      </c>
      <c r="K180" s="79" t="str">
        <f t="shared" si="15"/>
        <v>#REF!</v>
      </c>
      <c r="L180" s="27" t="s">
        <v>3515</v>
      </c>
      <c r="M180" s="27" t="str">
        <f t="shared" si="16"/>
        <v>};</v>
      </c>
      <c r="P180" s="78"/>
      <c r="Q180" s="6">
        <v>0.0</v>
      </c>
    </row>
    <row r="181" ht="12.0" customHeight="1">
      <c r="A181" s="22"/>
      <c r="B181" s="27" t="str">
        <f t="shared" si="13"/>
        <v>#REF!</v>
      </c>
      <c r="C181" s="27"/>
      <c r="D181" s="27"/>
      <c r="E181" s="27"/>
      <c r="F181" s="27"/>
      <c r="G181" s="27" t="s">
        <v>3512</v>
      </c>
      <c r="H181" s="27" t="str">
        <f t="shared" si="14"/>
        <v>#REF!</v>
      </c>
      <c r="I181" s="27" t="s">
        <v>3515</v>
      </c>
      <c r="J181" s="27" t="s">
        <v>3516</v>
      </c>
      <c r="K181" s="79" t="str">
        <f t="shared" si="15"/>
        <v>#REF!</v>
      </c>
      <c r="L181" s="27" t="s">
        <v>3515</v>
      </c>
      <c r="M181" s="27" t="str">
        <f t="shared" si="16"/>
        <v>};</v>
      </c>
      <c r="P181" s="78"/>
      <c r="Q181" s="6">
        <v>0.0</v>
      </c>
    </row>
    <row r="182" ht="12.0" customHeight="1">
      <c r="A182" s="22"/>
      <c r="B182" s="27" t="str">
        <f t="shared" si="13"/>
        <v>#REF!</v>
      </c>
      <c r="C182" s="27"/>
      <c r="D182" s="27"/>
      <c r="E182" s="27"/>
      <c r="F182" s="27"/>
      <c r="G182" s="27" t="s">
        <v>3512</v>
      </c>
      <c r="H182" s="27" t="str">
        <f t="shared" si="14"/>
        <v>#REF!</v>
      </c>
      <c r="I182" s="27" t="s">
        <v>3515</v>
      </c>
      <c r="J182" s="27" t="s">
        <v>3516</v>
      </c>
      <c r="K182" s="79" t="str">
        <f t="shared" si="15"/>
        <v>#REF!</v>
      </c>
      <c r="L182" s="27" t="s">
        <v>3515</v>
      </c>
      <c r="M182" s="27" t="str">
        <f t="shared" si="16"/>
        <v>};</v>
      </c>
      <c r="P182" s="78"/>
      <c r="Q182" s="6">
        <v>0.0</v>
      </c>
    </row>
    <row r="183" ht="12.0" customHeight="1">
      <c r="A183" s="22"/>
      <c r="B183" s="27" t="str">
        <f t="shared" si="13"/>
        <v>#REF!</v>
      </c>
      <c r="C183" s="27"/>
      <c r="D183" s="27"/>
      <c r="E183" s="27"/>
      <c r="F183" s="27"/>
      <c r="G183" s="27" t="s">
        <v>3512</v>
      </c>
      <c r="H183" s="27" t="str">
        <f t="shared" si="14"/>
        <v>#REF!</v>
      </c>
      <c r="I183" s="27" t="s">
        <v>3515</v>
      </c>
      <c r="J183" s="27" t="s">
        <v>3516</v>
      </c>
      <c r="K183" s="79" t="str">
        <f t="shared" si="15"/>
        <v>#REF!</v>
      </c>
      <c r="L183" s="27" t="s">
        <v>3515</v>
      </c>
      <c r="M183" s="27" t="str">
        <f t="shared" si="16"/>
        <v>};</v>
      </c>
      <c r="P183" s="78"/>
      <c r="Q183" s="6">
        <v>0.0</v>
      </c>
    </row>
    <row r="184" ht="12.0" customHeight="1">
      <c r="A184" s="22"/>
      <c r="B184" s="27" t="str">
        <f t="shared" si="13"/>
        <v>#REF!</v>
      </c>
      <c r="C184" s="27"/>
      <c r="D184" s="27"/>
      <c r="E184" s="27"/>
      <c r="F184" s="27"/>
      <c r="G184" s="27" t="s">
        <v>3512</v>
      </c>
      <c r="H184" s="27" t="str">
        <f t="shared" si="14"/>
        <v>#REF!</v>
      </c>
      <c r="I184" s="27" t="s">
        <v>3515</v>
      </c>
      <c r="J184" s="27" t="s">
        <v>3516</v>
      </c>
      <c r="K184" s="79" t="str">
        <f t="shared" si="15"/>
        <v>#REF!</v>
      </c>
      <c r="L184" s="27" t="s">
        <v>3515</v>
      </c>
      <c r="M184" s="27" t="str">
        <f t="shared" si="16"/>
        <v>};</v>
      </c>
      <c r="P184" s="78"/>
      <c r="Q184" s="6">
        <v>0.0</v>
      </c>
    </row>
    <row r="185" ht="12.0" customHeight="1">
      <c r="A185" s="22"/>
      <c r="B185" s="27" t="str">
        <f t="shared" si="13"/>
        <v>#REF!</v>
      </c>
      <c r="C185" s="27"/>
      <c r="D185" s="27"/>
      <c r="E185" s="27"/>
      <c r="F185" s="27"/>
      <c r="G185" s="27" t="s">
        <v>3512</v>
      </c>
      <c r="H185" s="27" t="str">
        <f t="shared" si="14"/>
        <v>#REF!</v>
      </c>
      <c r="I185" s="27" t="s">
        <v>3515</v>
      </c>
      <c r="J185" s="27" t="s">
        <v>3516</v>
      </c>
      <c r="K185" s="79" t="str">
        <f t="shared" si="15"/>
        <v>#REF!</v>
      </c>
      <c r="L185" s="27" t="s">
        <v>3515</v>
      </c>
      <c r="M185" s="27" t="str">
        <f t="shared" si="16"/>
        <v>};</v>
      </c>
      <c r="P185" s="78"/>
      <c r="Q185" s="6">
        <v>0.0</v>
      </c>
    </row>
    <row r="186" ht="12.0" customHeight="1">
      <c r="A186" s="22"/>
      <c r="B186" s="27" t="str">
        <f t="shared" si="13"/>
        <v>#REF!</v>
      </c>
      <c r="C186" s="27"/>
      <c r="D186" s="27"/>
      <c r="E186" s="27"/>
      <c r="F186" s="27"/>
      <c r="G186" s="27" t="s">
        <v>3512</v>
      </c>
      <c r="H186" s="27" t="str">
        <f t="shared" si="14"/>
        <v>#REF!</v>
      </c>
      <c r="I186" s="27" t="s">
        <v>3515</v>
      </c>
      <c r="J186" s="27" t="s">
        <v>3516</v>
      </c>
      <c r="K186" s="79" t="str">
        <f t="shared" si="15"/>
        <v>#REF!</v>
      </c>
      <c r="L186" s="27" t="s">
        <v>3515</v>
      </c>
      <c r="M186" s="27" t="str">
        <f t="shared" si="16"/>
        <v>};</v>
      </c>
      <c r="P186" s="78"/>
      <c r="Q186" s="6">
        <v>0.0</v>
      </c>
    </row>
    <row r="187" ht="12.0" customHeight="1">
      <c r="A187" s="22"/>
      <c r="B187" s="27" t="str">
        <f t="shared" si="13"/>
        <v>#REF!</v>
      </c>
      <c r="C187" s="27"/>
      <c r="D187" s="27"/>
      <c r="E187" s="27"/>
      <c r="F187" s="27"/>
      <c r="G187" s="27" t="s">
        <v>3512</v>
      </c>
      <c r="H187" s="27" t="str">
        <f t="shared" si="14"/>
        <v>#REF!</v>
      </c>
      <c r="I187" s="27" t="s">
        <v>3515</v>
      </c>
      <c r="J187" s="27" t="s">
        <v>3516</v>
      </c>
      <c r="K187" s="79" t="str">
        <f t="shared" si="15"/>
        <v>#REF!</v>
      </c>
      <c r="L187" s="27" t="s">
        <v>3515</v>
      </c>
      <c r="M187" s="27" t="str">
        <f t="shared" si="16"/>
        <v>};</v>
      </c>
      <c r="P187" s="78"/>
      <c r="Q187" s="6">
        <v>0.0</v>
      </c>
    </row>
    <row r="188" ht="12.0" customHeight="1">
      <c r="A188" s="22"/>
      <c r="B188" s="27" t="str">
        <f t="shared" si="13"/>
        <v>#REF!</v>
      </c>
      <c r="C188" s="27"/>
      <c r="D188" s="27"/>
      <c r="E188" s="27"/>
      <c r="F188" s="27"/>
      <c r="G188" s="27" t="s">
        <v>3512</v>
      </c>
      <c r="H188" s="27" t="str">
        <f t="shared" si="14"/>
        <v>#REF!</v>
      </c>
      <c r="I188" s="27" t="s">
        <v>3515</v>
      </c>
      <c r="J188" s="27" t="s">
        <v>3516</v>
      </c>
      <c r="K188" s="79" t="str">
        <f t="shared" si="15"/>
        <v>#REF!</v>
      </c>
      <c r="L188" s="27" t="s">
        <v>3515</v>
      </c>
      <c r="M188" s="27" t="str">
        <f t="shared" si="16"/>
        <v>};</v>
      </c>
      <c r="P188" s="78"/>
      <c r="Q188" s="6">
        <v>0.0</v>
      </c>
    </row>
    <row r="189" ht="12.0" customHeight="1">
      <c r="A189" s="22"/>
      <c r="B189" s="27" t="str">
        <f t="shared" si="13"/>
        <v>#REF!</v>
      </c>
      <c r="C189" s="27"/>
      <c r="D189" s="27"/>
      <c r="E189" s="27"/>
      <c r="F189" s="27"/>
      <c r="G189" s="27" t="s">
        <v>3512</v>
      </c>
      <c r="H189" s="27" t="str">
        <f t="shared" si="14"/>
        <v>#REF!</v>
      </c>
      <c r="I189" s="27" t="s">
        <v>3515</v>
      </c>
      <c r="J189" s="27" t="s">
        <v>3516</v>
      </c>
      <c r="K189" s="79" t="str">
        <f t="shared" si="15"/>
        <v>#REF!</v>
      </c>
      <c r="L189" s="27" t="s">
        <v>3515</v>
      </c>
      <c r="M189" s="27" t="str">
        <f t="shared" si="16"/>
        <v>};</v>
      </c>
      <c r="P189" s="78"/>
      <c r="Q189" s="6">
        <v>0.0</v>
      </c>
    </row>
    <row r="190" ht="12.0" customHeight="1">
      <c r="A190" s="22"/>
      <c r="B190" s="27" t="str">
        <f t="shared" si="13"/>
        <v>#REF!</v>
      </c>
      <c r="C190" s="27"/>
      <c r="D190" s="27"/>
      <c r="E190" s="27"/>
      <c r="F190" s="27"/>
      <c r="G190" s="27" t="s">
        <v>3512</v>
      </c>
      <c r="H190" s="27" t="str">
        <f t="shared" si="14"/>
        <v>#REF!</v>
      </c>
      <c r="I190" s="27" t="s">
        <v>3515</v>
      </c>
      <c r="J190" s="27" t="s">
        <v>3516</v>
      </c>
      <c r="K190" s="79" t="str">
        <f t="shared" si="15"/>
        <v>#REF!</v>
      </c>
      <c r="L190" s="27" t="s">
        <v>3515</v>
      </c>
      <c r="M190" s="27" t="str">
        <f t="shared" si="16"/>
        <v>};</v>
      </c>
      <c r="P190" s="78"/>
      <c r="Q190" s="6">
        <v>0.0</v>
      </c>
    </row>
    <row r="191" ht="12.0" customHeight="1">
      <c r="A191" s="22"/>
      <c r="B191" s="27" t="str">
        <f t="shared" si="13"/>
        <v>#REF!</v>
      </c>
      <c r="C191" s="27"/>
      <c r="D191" s="27"/>
      <c r="E191" s="27"/>
      <c r="F191" s="27"/>
      <c r="G191" s="27" t="s">
        <v>3512</v>
      </c>
      <c r="H191" s="27" t="str">
        <f t="shared" si="14"/>
        <v>#REF!</v>
      </c>
      <c r="I191" s="27" t="s">
        <v>3515</v>
      </c>
      <c r="J191" s="27" t="s">
        <v>3516</v>
      </c>
      <c r="K191" s="79" t="str">
        <f t="shared" si="15"/>
        <v>#REF!</v>
      </c>
      <c r="L191" s="27" t="s">
        <v>3515</v>
      </c>
      <c r="M191" s="27" t="str">
        <f t="shared" si="16"/>
        <v>};</v>
      </c>
      <c r="P191" s="78"/>
      <c r="Q191" s="6">
        <v>0.0</v>
      </c>
    </row>
    <row r="192" ht="12.0" customHeight="1">
      <c r="A192" s="22"/>
      <c r="B192" s="27" t="str">
        <f t="shared" si="13"/>
        <v>#REF!</v>
      </c>
      <c r="C192" s="27"/>
      <c r="D192" s="27"/>
      <c r="E192" s="27"/>
      <c r="F192" s="27"/>
      <c r="G192" s="27" t="s">
        <v>3512</v>
      </c>
      <c r="H192" s="27" t="str">
        <f t="shared" si="14"/>
        <v>#REF!</v>
      </c>
      <c r="I192" s="27" t="s">
        <v>3515</v>
      </c>
      <c r="J192" s="27" t="s">
        <v>3516</v>
      </c>
      <c r="K192" s="79" t="str">
        <f t="shared" si="15"/>
        <v>#REF!</v>
      </c>
      <c r="L192" s="27" t="s">
        <v>3515</v>
      </c>
      <c r="M192" s="27" t="str">
        <f t="shared" si="16"/>
        <v>};</v>
      </c>
      <c r="P192" s="78"/>
      <c r="Q192" s="6">
        <v>0.0</v>
      </c>
    </row>
    <row r="193" ht="12.0" customHeight="1">
      <c r="A193" s="22"/>
      <c r="B193" s="27" t="str">
        <f t="shared" si="13"/>
        <v>#REF!</v>
      </c>
      <c r="C193" s="27"/>
      <c r="D193" s="27"/>
      <c r="E193" s="27"/>
      <c r="F193" s="27"/>
      <c r="G193" s="27" t="s">
        <v>3512</v>
      </c>
      <c r="H193" s="27" t="str">
        <f t="shared" si="14"/>
        <v>#REF!</v>
      </c>
      <c r="I193" s="27" t="s">
        <v>3515</v>
      </c>
      <c r="J193" s="27" t="s">
        <v>3516</v>
      </c>
      <c r="K193" s="79" t="str">
        <f t="shared" si="15"/>
        <v>#REF!</v>
      </c>
      <c r="L193" s="27" t="s">
        <v>3515</v>
      </c>
      <c r="M193" s="27" t="str">
        <f t="shared" si="16"/>
        <v>};</v>
      </c>
      <c r="P193" s="78"/>
      <c r="Q193" s="6">
        <v>0.0</v>
      </c>
    </row>
    <row r="194" ht="12.0" customHeight="1">
      <c r="A194" s="22"/>
      <c r="B194" s="27" t="str">
        <f t="shared" si="13"/>
        <v>#REF!</v>
      </c>
      <c r="C194" s="27"/>
      <c r="D194" s="27"/>
      <c r="E194" s="27"/>
      <c r="F194" s="27"/>
      <c r="G194" s="27" t="s">
        <v>3512</v>
      </c>
      <c r="H194" s="27" t="str">
        <f t="shared" si="14"/>
        <v>#REF!</v>
      </c>
      <c r="I194" s="27" t="s">
        <v>3515</v>
      </c>
      <c r="J194" s="27" t="s">
        <v>3516</v>
      </c>
      <c r="K194" s="79" t="str">
        <f t="shared" si="15"/>
        <v>#REF!</v>
      </c>
      <c r="L194" s="27" t="s">
        <v>3515</v>
      </c>
      <c r="M194" s="27" t="str">
        <f t="shared" si="16"/>
        <v>};</v>
      </c>
      <c r="P194" s="78"/>
      <c r="Q194" s="6">
        <v>0.0</v>
      </c>
    </row>
    <row r="195" ht="12.0" customHeight="1">
      <c r="A195" s="22"/>
      <c r="B195" s="27" t="str">
        <f t="shared" si="13"/>
        <v>#REF!</v>
      </c>
      <c r="C195" s="27"/>
      <c r="D195" s="27"/>
      <c r="E195" s="27"/>
      <c r="F195" s="27"/>
      <c r="G195" s="27" t="s">
        <v>3512</v>
      </c>
      <c r="H195" s="27" t="str">
        <f t="shared" si="14"/>
        <v>#REF!</v>
      </c>
      <c r="I195" s="27" t="s">
        <v>3515</v>
      </c>
      <c r="J195" s="27" t="s">
        <v>3516</v>
      </c>
      <c r="K195" s="79" t="str">
        <f t="shared" si="15"/>
        <v>#REF!</v>
      </c>
      <c r="L195" s="27" t="s">
        <v>3515</v>
      </c>
      <c r="M195" s="27" t="str">
        <f t="shared" si="16"/>
        <v>};</v>
      </c>
      <c r="P195" s="78"/>
      <c r="Q195" s="6">
        <v>0.0</v>
      </c>
    </row>
    <row r="196" ht="12.0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P196" s="78"/>
    </row>
    <row r="197" ht="12.0" customHeight="1">
      <c r="A197" s="22"/>
      <c r="B197" s="22" t="s">
        <v>174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P197" s="78"/>
    </row>
    <row r="198" ht="12.0" customHeight="1">
      <c r="A198" s="22"/>
      <c r="B198" s="22" t="s">
        <v>428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P198" s="78"/>
    </row>
    <row r="199" ht="12.0" customHeight="1">
      <c r="A199" s="22"/>
      <c r="B199" s="22" t="s">
        <v>174</v>
      </c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P199" s="78"/>
    </row>
    <row r="200" ht="12.0" customHeight="1">
      <c r="A200" s="22"/>
      <c r="B200" s="27" t="str">
        <f t="shared" ref="B200:B216" si="17">'Exile INPUT'!C205</f>
        <v>#REF!</v>
      </c>
      <c r="C200" s="27"/>
      <c r="D200" s="27"/>
      <c r="E200" s="27"/>
      <c r="F200" s="27"/>
      <c r="G200" s="27" t="s">
        <v>3512</v>
      </c>
      <c r="H200" s="27" t="str">
        <f t="shared" ref="H200:H216" si="18">'Exile INPUT'!E205</f>
        <v>#REF!</v>
      </c>
      <c r="I200" s="27" t="s">
        <v>3515</v>
      </c>
      <c r="J200" s="27" t="s">
        <v>3516</v>
      </c>
      <c r="K200" s="79" t="str">
        <f t="shared" ref="K200:K216" si="19">'Exile INPUT'!J205</f>
        <v>#REF!</v>
      </c>
      <c r="L200" s="27" t="s">
        <v>3515</v>
      </c>
      <c r="M200" s="27" t="str">
        <f t="shared" ref="M200:M216" si="20">IF(Q200 = 0, "};",CONCATENATE("sellPrice = ",Q200,"; };"))</f>
        <v>};</v>
      </c>
      <c r="P200" s="78"/>
      <c r="Q200" s="6">
        <v>0.0</v>
      </c>
    </row>
    <row r="201" ht="12.0" customHeight="1">
      <c r="A201" s="22"/>
      <c r="B201" s="27" t="str">
        <f t="shared" si="17"/>
        <v>#REF!</v>
      </c>
      <c r="C201" s="27"/>
      <c r="D201" s="27"/>
      <c r="E201" s="27"/>
      <c r="F201" s="27"/>
      <c r="G201" s="27" t="s">
        <v>3512</v>
      </c>
      <c r="H201" s="27" t="str">
        <f t="shared" si="18"/>
        <v>#REF!</v>
      </c>
      <c r="I201" s="27" t="s">
        <v>3515</v>
      </c>
      <c r="J201" s="27" t="s">
        <v>3516</v>
      </c>
      <c r="K201" s="79" t="str">
        <f t="shared" si="19"/>
        <v>#REF!</v>
      </c>
      <c r="L201" s="27" t="s">
        <v>3515</v>
      </c>
      <c r="M201" s="27" t="str">
        <f t="shared" si="20"/>
        <v>};</v>
      </c>
      <c r="P201" s="78"/>
      <c r="Q201" s="6">
        <v>0.0</v>
      </c>
    </row>
    <row r="202" ht="12.0" customHeight="1">
      <c r="A202" s="22"/>
      <c r="B202" s="27" t="str">
        <f t="shared" si="17"/>
        <v>#REF!</v>
      </c>
      <c r="C202" s="27"/>
      <c r="D202" s="27"/>
      <c r="E202" s="27"/>
      <c r="F202" s="27"/>
      <c r="G202" s="27" t="s">
        <v>3512</v>
      </c>
      <c r="H202" s="27" t="str">
        <f t="shared" si="18"/>
        <v>#REF!</v>
      </c>
      <c r="I202" s="27" t="s">
        <v>3515</v>
      </c>
      <c r="J202" s="27" t="s">
        <v>3516</v>
      </c>
      <c r="K202" s="79" t="str">
        <f t="shared" si="19"/>
        <v>#REF!</v>
      </c>
      <c r="L202" s="27" t="s">
        <v>3515</v>
      </c>
      <c r="M202" s="27" t="str">
        <f t="shared" si="20"/>
        <v>};</v>
      </c>
      <c r="P202" s="78"/>
      <c r="Q202" s="6">
        <v>0.0</v>
      </c>
    </row>
    <row r="203" ht="12.0" customHeight="1">
      <c r="A203" s="22"/>
      <c r="B203" s="27" t="str">
        <f t="shared" si="17"/>
        <v>#REF!</v>
      </c>
      <c r="C203" s="27"/>
      <c r="D203" s="27"/>
      <c r="E203" s="27"/>
      <c r="F203" s="27"/>
      <c r="G203" s="27" t="s">
        <v>3512</v>
      </c>
      <c r="H203" s="27" t="str">
        <f t="shared" si="18"/>
        <v>#REF!</v>
      </c>
      <c r="I203" s="27" t="s">
        <v>3515</v>
      </c>
      <c r="J203" s="27" t="s">
        <v>3516</v>
      </c>
      <c r="K203" s="79" t="str">
        <f t="shared" si="19"/>
        <v>#REF!</v>
      </c>
      <c r="L203" s="27" t="s">
        <v>3515</v>
      </c>
      <c r="M203" s="27" t="str">
        <f t="shared" si="20"/>
        <v>};</v>
      </c>
      <c r="P203" s="78"/>
      <c r="Q203" s="6">
        <v>0.0</v>
      </c>
    </row>
    <row r="204" ht="12.0" customHeight="1">
      <c r="A204" s="22"/>
      <c r="B204" s="27" t="str">
        <f t="shared" si="17"/>
        <v>#REF!</v>
      </c>
      <c r="C204" s="27"/>
      <c r="D204" s="27"/>
      <c r="E204" s="27"/>
      <c r="F204" s="27"/>
      <c r="G204" s="27" t="s">
        <v>3512</v>
      </c>
      <c r="H204" s="27" t="str">
        <f t="shared" si="18"/>
        <v>#REF!</v>
      </c>
      <c r="I204" s="27" t="s">
        <v>3515</v>
      </c>
      <c r="J204" s="27" t="s">
        <v>3516</v>
      </c>
      <c r="K204" s="79" t="str">
        <f t="shared" si="19"/>
        <v>#REF!</v>
      </c>
      <c r="L204" s="27" t="s">
        <v>3515</v>
      </c>
      <c r="M204" s="27" t="str">
        <f t="shared" si="20"/>
        <v>};</v>
      </c>
      <c r="P204" s="78"/>
      <c r="Q204" s="6">
        <v>0.0</v>
      </c>
    </row>
    <row r="205" ht="12.0" customHeight="1">
      <c r="A205" s="22"/>
      <c r="B205" s="27" t="str">
        <f t="shared" si="17"/>
        <v>#REF!</v>
      </c>
      <c r="C205" s="27"/>
      <c r="D205" s="27"/>
      <c r="E205" s="27"/>
      <c r="F205" s="27"/>
      <c r="G205" s="27" t="s">
        <v>3512</v>
      </c>
      <c r="H205" s="27" t="str">
        <f t="shared" si="18"/>
        <v>#REF!</v>
      </c>
      <c r="I205" s="27" t="s">
        <v>3515</v>
      </c>
      <c r="J205" s="27" t="s">
        <v>3516</v>
      </c>
      <c r="K205" s="79" t="str">
        <f t="shared" si="19"/>
        <v>#REF!</v>
      </c>
      <c r="L205" s="27" t="s">
        <v>3515</v>
      </c>
      <c r="M205" s="27" t="str">
        <f t="shared" si="20"/>
        <v>};</v>
      </c>
      <c r="P205" s="78"/>
      <c r="Q205" s="6">
        <v>0.0</v>
      </c>
    </row>
    <row r="206" ht="12.0" customHeight="1">
      <c r="A206" s="22"/>
      <c r="B206" s="27" t="str">
        <f t="shared" si="17"/>
        <v>#REF!</v>
      </c>
      <c r="C206" s="27"/>
      <c r="D206" s="27"/>
      <c r="E206" s="27"/>
      <c r="F206" s="27"/>
      <c r="G206" s="27" t="s">
        <v>3512</v>
      </c>
      <c r="H206" s="27" t="str">
        <f t="shared" si="18"/>
        <v>#REF!</v>
      </c>
      <c r="I206" s="27" t="s">
        <v>3515</v>
      </c>
      <c r="J206" s="27" t="s">
        <v>3516</v>
      </c>
      <c r="K206" s="79" t="str">
        <f t="shared" si="19"/>
        <v>#REF!</v>
      </c>
      <c r="L206" s="27" t="s">
        <v>3515</v>
      </c>
      <c r="M206" s="27" t="str">
        <f t="shared" si="20"/>
        <v>};</v>
      </c>
      <c r="P206" s="78"/>
      <c r="Q206" s="6">
        <v>0.0</v>
      </c>
    </row>
    <row r="207" ht="12.0" customHeight="1">
      <c r="A207" s="22"/>
      <c r="B207" s="27" t="str">
        <f t="shared" si="17"/>
        <v>#REF!</v>
      </c>
      <c r="C207" s="27"/>
      <c r="D207" s="27"/>
      <c r="E207" s="27"/>
      <c r="F207" s="27"/>
      <c r="G207" s="27" t="s">
        <v>3512</v>
      </c>
      <c r="H207" s="27" t="str">
        <f t="shared" si="18"/>
        <v>#REF!</v>
      </c>
      <c r="I207" s="27" t="s">
        <v>3515</v>
      </c>
      <c r="J207" s="27" t="s">
        <v>3516</v>
      </c>
      <c r="K207" s="79" t="str">
        <f t="shared" si="19"/>
        <v>#REF!</v>
      </c>
      <c r="L207" s="27" t="s">
        <v>3515</v>
      </c>
      <c r="M207" s="27" t="str">
        <f t="shared" si="20"/>
        <v>};</v>
      </c>
      <c r="P207" s="78"/>
      <c r="Q207" s="6">
        <v>0.0</v>
      </c>
    </row>
    <row r="208" ht="12.0" customHeight="1">
      <c r="A208" s="22"/>
      <c r="B208" s="27" t="str">
        <f t="shared" si="17"/>
        <v>#REF!</v>
      </c>
      <c r="C208" s="27"/>
      <c r="D208" s="27"/>
      <c r="E208" s="27"/>
      <c r="F208" s="27"/>
      <c r="G208" s="27" t="s">
        <v>3512</v>
      </c>
      <c r="H208" s="27" t="str">
        <f t="shared" si="18"/>
        <v>#REF!</v>
      </c>
      <c r="I208" s="27" t="s">
        <v>3515</v>
      </c>
      <c r="J208" s="27" t="s">
        <v>3516</v>
      </c>
      <c r="K208" s="79" t="str">
        <f t="shared" si="19"/>
        <v>#REF!</v>
      </c>
      <c r="L208" s="27" t="s">
        <v>3515</v>
      </c>
      <c r="M208" s="27" t="str">
        <f t="shared" si="20"/>
        <v>};</v>
      </c>
      <c r="P208" s="78"/>
      <c r="Q208" s="6">
        <v>0.0</v>
      </c>
    </row>
    <row r="209" ht="12.0" customHeight="1">
      <c r="A209" s="22"/>
      <c r="B209" s="27" t="str">
        <f t="shared" si="17"/>
        <v>#REF!</v>
      </c>
      <c r="C209" s="27"/>
      <c r="D209" s="27"/>
      <c r="E209" s="27"/>
      <c r="F209" s="27"/>
      <c r="G209" s="27" t="s">
        <v>3512</v>
      </c>
      <c r="H209" s="27" t="str">
        <f t="shared" si="18"/>
        <v>#REF!</v>
      </c>
      <c r="I209" s="27" t="s">
        <v>3515</v>
      </c>
      <c r="J209" s="27" t="s">
        <v>3516</v>
      </c>
      <c r="K209" s="79" t="str">
        <f t="shared" si="19"/>
        <v>#REF!</v>
      </c>
      <c r="L209" s="27" t="s">
        <v>3515</v>
      </c>
      <c r="M209" s="27" t="str">
        <f t="shared" si="20"/>
        <v>};</v>
      </c>
      <c r="P209" s="78"/>
      <c r="Q209" s="6">
        <v>0.0</v>
      </c>
    </row>
    <row r="210" ht="12.0" customHeight="1">
      <c r="A210" s="22"/>
      <c r="B210" s="27" t="str">
        <f t="shared" si="17"/>
        <v>#REF!</v>
      </c>
      <c r="C210" s="27"/>
      <c r="D210" s="27"/>
      <c r="E210" s="27"/>
      <c r="F210" s="27"/>
      <c r="G210" s="27" t="s">
        <v>3512</v>
      </c>
      <c r="H210" s="27" t="str">
        <f t="shared" si="18"/>
        <v>#REF!</v>
      </c>
      <c r="I210" s="27" t="s">
        <v>3515</v>
      </c>
      <c r="J210" s="27" t="s">
        <v>3516</v>
      </c>
      <c r="K210" s="79" t="str">
        <f t="shared" si="19"/>
        <v>#REF!</v>
      </c>
      <c r="L210" s="27" t="s">
        <v>3515</v>
      </c>
      <c r="M210" s="27" t="str">
        <f t="shared" si="20"/>
        <v>};</v>
      </c>
      <c r="P210" s="78"/>
      <c r="Q210" s="6">
        <v>0.0</v>
      </c>
    </row>
    <row r="211" ht="12.0" customHeight="1">
      <c r="A211" s="22"/>
      <c r="B211" s="27" t="str">
        <f t="shared" si="17"/>
        <v>#REF!</v>
      </c>
      <c r="C211" s="27"/>
      <c r="D211" s="27"/>
      <c r="E211" s="27"/>
      <c r="F211" s="27"/>
      <c r="G211" s="27" t="s">
        <v>3512</v>
      </c>
      <c r="H211" s="27" t="str">
        <f t="shared" si="18"/>
        <v>#REF!</v>
      </c>
      <c r="I211" s="27" t="s">
        <v>3515</v>
      </c>
      <c r="J211" s="27" t="s">
        <v>3516</v>
      </c>
      <c r="K211" s="79" t="str">
        <f t="shared" si="19"/>
        <v>#REF!</v>
      </c>
      <c r="L211" s="27" t="s">
        <v>3515</v>
      </c>
      <c r="M211" s="27" t="str">
        <f t="shared" si="20"/>
        <v>};</v>
      </c>
      <c r="P211" s="78"/>
      <c r="Q211" s="6">
        <v>0.0</v>
      </c>
    </row>
    <row r="212" ht="12.0" customHeight="1">
      <c r="A212" s="22"/>
      <c r="B212" s="27" t="str">
        <f t="shared" si="17"/>
        <v>#REF!</v>
      </c>
      <c r="C212" s="27"/>
      <c r="D212" s="27"/>
      <c r="E212" s="27"/>
      <c r="F212" s="27"/>
      <c r="G212" s="27" t="s">
        <v>3512</v>
      </c>
      <c r="H212" s="27" t="str">
        <f t="shared" si="18"/>
        <v>#REF!</v>
      </c>
      <c r="I212" s="27" t="s">
        <v>3515</v>
      </c>
      <c r="J212" s="27" t="s">
        <v>3516</v>
      </c>
      <c r="K212" s="79" t="str">
        <f t="shared" si="19"/>
        <v>#REF!</v>
      </c>
      <c r="L212" s="27" t="s">
        <v>3515</v>
      </c>
      <c r="M212" s="27" t="str">
        <f t="shared" si="20"/>
        <v>};</v>
      </c>
      <c r="P212" s="78"/>
      <c r="Q212" s="6">
        <v>0.0</v>
      </c>
    </row>
    <row r="213" ht="12.0" customHeight="1">
      <c r="A213" s="22"/>
      <c r="B213" s="27" t="str">
        <f t="shared" si="17"/>
        <v>#REF!</v>
      </c>
      <c r="C213" s="27"/>
      <c r="D213" s="27"/>
      <c r="E213" s="27"/>
      <c r="F213" s="27"/>
      <c r="G213" s="27" t="s">
        <v>3512</v>
      </c>
      <c r="H213" s="27" t="str">
        <f t="shared" si="18"/>
        <v>#REF!</v>
      </c>
      <c r="I213" s="27" t="s">
        <v>3515</v>
      </c>
      <c r="J213" s="27" t="s">
        <v>3516</v>
      </c>
      <c r="K213" s="79" t="str">
        <f t="shared" si="19"/>
        <v>#REF!</v>
      </c>
      <c r="L213" s="27" t="s">
        <v>3515</v>
      </c>
      <c r="M213" s="27" t="str">
        <f t="shared" si="20"/>
        <v>};</v>
      </c>
      <c r="P213" s="78"/>
      <c r="Q213" s="6">
        <v>0.0</v>
      </c>
    </row>
    <row r="214" ht="12.0" customHeight="1">
      <c r="A214" s="22"/>
      <c r="B214" s="27" t="str">
        <f t="shared" si="17"/>
        <v>#REF!</v>
      </c>
      <c r="C214" s="27"/>
      <c r="D214" s="27"/>
      <c r="E214" s="27"/>
      <c r="F214" s="27"/>
      <c r="G214" s="27" t="s">
        <v>3512</v>
      </c>
      <c r="H214" s="27" t="str">
        <f t="shared" si="18"/>
        <v>#REF!</v>
      </c>
      <c r="I214" s="27" t="s">
        <v>3515</v>
      </c>
      <c r="J214" s="27" t="s">
        <v>3516</v>
      </c>
      <c r="K214" s="79" t="str">
        <f t="shared" si="19"/>
        <v>#REF!</v>
      </c>
      <c r="L214" s="27" t="s">
        <v>3515</v>
      </c>
      <c r="M214" s="27" t="str">
        <f t="shared" si="20"/>
        <v>};</v>
      </c>
      <c r="P214" s="78"/>
      <c r="Q214" s="6">
        <v>0.0</v>
      </c>
    </row>
    <row r="215" ht="12.0" customHeight="1">
      <c r="A215" s="22"/>
      <c r="B215" s="27" t="str">
        <f t="shared" si="17"/>
        <v>#REF!</v>
      </c>
      <c r="C215" s="27"/>
      <c r="D215" s="27"/>
      <c r="E215" s="27"/>
      <c r="F215" s="27"/>
      <c r="G215" s="27" t="s">
        <v>3512</v>
      </c>
      <c r="H215" s="27" t="str">
        <f t="shared" si="18"/>
        <v>#REF!</v>
      </c>
      <c r="I215" s="27" t="s">
        <v>3515</v>
      </c>
      <c r="J215" s="27" t="s">
        <v>3516</v>
      </c>
      <c r="K215" s="79" t="str">
        <f t="shared" si="19"/>
        <v>#REF!</v>
      </c>
      <c r="L215" s="27" t="s">
        <v>3515</v>
      </c>
      <c r="M215" s="27" t="str">
        <f t="shared" si="20"/>
        <v>};</v>
      </c>
      <c r="P215" s="78"/>
      <c r="Q215" s="6">
        <v>0.0</v>
      </c>
    </row>
    <row r="216" ht="12.0" customHeight="1">
      <c r="A216" s="27"/>
      <c r="B216" s="27" t="str">
        <f t="shared" si="17"/>
        <v>#REF!</v>
      </c>
      <c r="C216" s="27"/>
      <c r="D216" s="27"/>
      <c r="E216" s="27"/>
      <c r="F216" s="27"/>
      <c r="G216" s="27" t="s">
        <v>3512</v>
      </c>
      <c r="H216" s="27" t="str">
        <f t="shared" si="18"/>
        <v>#REF!</v>
      </c>
      <c r="I216" s="27" t="s">
        <v>3515</v>
      </c>
      <c r="J216" s="27" t="s">
        <v>3516</v>
      </c>
      <c r="K216" s="79" t="str">
        <f t="shared" si="19"/>
        <v>#REF!</v>
      </c>
      <c r="L216" s="27" t="s">
        <v>3515</v>
      </c>
      <c r="M216" s="27" t="str">
        <f t="shared" si="20"/>
        <v>sellPrice = 1; };</v>
      </c>
      <c r="N216" s="27"/>
      <c r="O216" s="27"/>
      <c r="P216" s="90"/>
      <c r="Q216" s="6">
        <v>1.0</v>
      </c>
      <c r="R216" s="27"/>
      <c r="S216" s="27"/>
      <c r="T216" s="27"/>
      <c r="U216" s="27"/>
      <c r="V216" s="27"/>
      <c r="W216" s="27"/>
      <c r="X216" s="27"/>
      <c r="Y216" s="27"/>
      <c r="Z216" s="27"/>
    </row>
    <row r="217" ht="12.0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79"/>
      <c r="L217" s="27"/>
      <c r="M217" s="27"/>
      <c r="N217" s="27"/>
      <c r="O217" s="27"/>
      <c r="P217" s="90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2.0" customHeight="1">
      <c r="A218" s="27"/>
      <c r="B218" s="22" t="s">
        <v>174</v>
      </c>
      <c r="C218" s="27"/>
      <c r="D218" s="27"/>
      <c r="E218" s="27"/>
      <c r="F218" s="27"/>
      <c r="G218" s="27"/>
      <c r="H218" s="27"/>
      <c r="I218" s="27"/>
      <c r="J218" s="27"/>
      <c r="K218" s="79"/>
      <c r="L218" s="27"/>
      <c r="M218" s="27"/>
      <c r="N218" s="27"/>
      <c r="O218" s="27"/>
      <c r="P218" s="90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2.0" customHeight="1">
      <c r="A219" s="27"/>
      <c r="B219" s="22" t="s">
        <v>445</v>
      </c>
      <c r="C219" s="27"/>
      <c r="D219" s="27"/>
      <c r="E219" s="27"/>
      <c r="F219" s="27"/>
      <c r="G219" s="27"/>
      <c r="H219" s="27"/>
      <c r="I219" s="27"/>
      <c r="J219" s="27"/>
      <c r="K219" s="79"/>
      <c r="L219" s="27"/>
      <c r="M219" s="27"/>
      <c r="N219" s="27"/>
      <c r="O219" s="27"/>
      <c r="P219" s="90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2.0" customHeight="1">
      <c r="A220" s="22"/>
      <c r="B220" s="22" t="s">
        <v>174</v>
      </c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P220" s="78"/>
    </row>
    <row r="221" ht="12.0" customHeight="1">
      <c r="A221" s="22"/>
      <c r="B221" s="27" t="str">
        <f t="shared" ref="B221:B238" si="21">'Exile INPUT'!C223</f>
        <v>#REF!</v>
      </c>
      <c r="C221" s="27"/>
      <c r="D221" s="27"/>
      <c r="E221" s="27"/>
      <c r="F221" s="27"/>
      <c r="G221" s="27" t="s">
        <v>3512</v>
      </c>
      <c r="H221" s="27" t="str">
        <f t="shared" ref="H221:H238" si="22">'Exile INPUT'!E223</f>
        <v>#REF!</v>
      </c>
      <c r="I221" s="27" t="s">
        <v>3515</v>
      </c>
      <c r="J221" s="27" t="s">
        <v>3516</v>
      </c>
      <c r="K221" s="79" t="str">
        <f t="shared" ref="K221:K238" si="23">'Exile INPUT'!J223</f>
        <v>#REF!</v>
      </c>
      <c r="L221" s="27" t="s">
        <v>3515</v>
      </c>
      <c r="M221" s="27" t="str">
        <f t="shared" ref="M221:M239" si="24">IF(Q221 = 0, "};",CONCATENATE("sellPrice = ",Q221,"; };"))</f>
        <v>};</v>
      </c>
      <c r="P221" s="78"/>
      <c r="Q221" s="6">
        <v>0.0</v>
      </c>
    </row>
    <row r="222" ht="12.0" customHeight="1">
      <c r="A222" s="22"/>
      <c r="B222" s="27" t="str">
        <f t="shared" si="21"/>
        <v>#REF!</v>
      </c>
      <c r="C222" s="27"/>
      <c r="D222" s="27"/>
      <c r="E222" s="27"/>
      <c r="F222" s="27"/>
      <c r="G222" s="27" t="s">
        <v>3512</v>
      </c>
      <c r="H222" s="27" t="str">
        <f t="shared" si="22"/>
        <v>#REF!</v>
      </c>
      <c r="I222" s="27" t="s">
        <v>3515</v>
      </c>
      <c r="J222" s="27" t="s">
        <v>3516</v>
      </c>
      <c r="K222" s="79" t="str">
        <f t="shared" si="23"/>
        <v>#REF!</v>
      </c>
      <c r="L222" s="27" t="s">
        <v>3515</v>
      </c>
      <c r="M222" s="27" t="str">
        <f t="shared" si="24"/>
        <v>};</v>
      </c>
      <c r="P222" s="78"/>
      <c r="Q222" s="6">
        <v>0.0</v>
      </c>
    </row>
    <row r="223" ht="12.0" customHeight="1">
      <c r="A223" s="22"/>
      <c r="B223" s="27" t="str">
        <f t="shared" si="21"/>
        <v>#REF!</v>
      </c>
      <c r="C223" s="27"/>
      <c r="D223" s="27"/>
      <c r="E223" s="27"/>
      <c r="F223" s="27"/>
      <c r="G223" s="27" t="s">
        <v>3512</v>
      </c>
      <c r="H223" s="27" t="str">
        <f t="shared" si="22"/>
        <v>#REF!</v>
      </c>
      <c r="I223" s="27" t="s">
        <v>3515</v>
      </c>
      <c r="J223" s="27" t="s">
        <v>3516</v>
      </c>
      <c r="K223" s="79" t="str">
        <f t="shared" si="23"/>
        <v>#REF!</v>
      </c>
      <c r="L223" s="27" t="s">
        <v>3515</v>
      </c>
      <c r="M223" s="27" t="str">
        <f t="shared" si="24"/>
        <v>};</v>
      </c>
      <c r="P223" s="78"/>
      <c r="Q223" s="6">
        <v>0.0</v>
      </c>
    </row>
    <row r="224" ht="12.0" customHeight="1">
      <c r="A224" s="22"/>
      <c r="B224" s="27" t="str">
        <f t="shared" si="21"/>
        <v>#REF!</v>
      </c>
      <c r="C224" s="27"/>
      <c r="D224" s="27"/>
      <c r="E224" s="27"/>
      <c r="F224" s="27"/>
      <c r="G224" s="27" t="s">
        <v>3512</v>
      </c>
      <c r="H224" s="27" t="str">
        <f t="shared" si="22"/>
        <v>#REF!</v>
      </c>
      <c r="I224" s="27" t="s">
        <v>3515</v>
      </c>
      <c r="J224" s="27" t="s">
        <v>3516</v>
      </c>
      <c r="K224" s="79" t="str">
        <f t="shared" si="23"/>
        <v>#REF!</v>
      </c>
      <c r="L224" s="27" t="s">
        <v>3515</v>
      </c>
      <c r="M224" s="27" t="str">
        <f t="shared" si="24"/>
        <v>};</v>
      </c>
      <c r="P224" s="78"/>
      <c r="Q224" s="6">
        <v>0.0</v>
      </c>
    </row>
    <row r="225" ht="12.0" customHeight="1">
      <c r="A225" s="22"/>
      <c r="B225" s="27" t="str">
        <f t="shared" si="21"/>
        <v>#REF!</v>
      </c>
      <c r="C225" s="27"/>
      <c r="D225" s="27"/>
      <c r="E225" s="27"/>
      <c r="F225" s="27"/>
      <c r="G225" s="27" t="s">
        <v>3512</v>
      </c>
      <c r="H225" s="27" t="str">
        <f t="shared" si="22"/>
        <v>#REF!</v>
      </c>
      <c r="I225" s="27" t="s">
        <v>3515</v>
      </c>
      <c r="J225" s="27" t="s">
        <v>3516</v>
      </c>
      <c r="K225" s="79" t="str">
        <f t="shared" si="23"/>
        <v>#REF!</v>
      </c>
      <c r="L225" s="27" t="s">
        <v>3515</v>
      </c>
      <c r="M225" s="27" t="str">
        <f t="shared" si="24"/>
        <v>};</v>
      </c>
      <c r="P225" s="78"/>
      <c r="Q225" s="6">
        <v>0.0</v>
      </c>
    </row>
    <row r="226" ht="12.0" customHeight="1">
      <c r="A226" s="22"/>
      <c r="B226" s="27" t="str">
        <f t="shared" si="21"/>
        <v>#REF!</v>
      </c>
      <c r="C226" s="27"/>
      <c r="D226" s="27"/>
      <c r="E226" s="27"/>
      <c r="F226" s="27"/>
      <c r="G226" s="27" t="s">
        <v>3512</v>
      </c>
      <c r="H226" s="27" t="str">
        <f t="shared" si="22"/>
        <v>#REF!</v>
      </c>
      <c r="I226" s="27" t="s">
        <v>3515</v>
      </c>
      <c r="J226" s="27" t="s">
        <v>3516</v>
      </c>
      <c r="K226" s="79" t="str">
        <f t="shared" si="23"/>
        <v>#REF!</v>
      </c>
      <c r="L226" s="27" t="s">
        <v>3515</v>
      </c>
      <c r="M226" s="27" t="str">
        <f t="shared" si="24"/>
        <v>};</v>
      </c>
      <c r="P226" s="78"/>
      <c r="Q226" s="6">
        <v>0.0</v>
      </c>
    </row>
    <row r="227" ht="12.0" customHeight="1">
      <c r="A227" s="22"/>
      <c r="B227" s="27" t="str">
        <f t="shared" si="21"/>
        <v>#REF!</v>
      </c>
      <c r="C227" s="27"/>
      <c r="D227" s="27"/>
      <c r="E227" s="27"/>
      <c r="F227" s="27"/>
      <c r="G227" s="27" t="s">
        <v>3512</v>
      </c>
      <c r="H227" s="27" t="str">
        <f t="shared" si="22"/>
        <v>#REF!</v>
      </c>
      <c r="I227" s="27" t="s">
        <v>3515</v>
      </c>
      <c r="J227" s="27" t="s">
        <v>3516</v>
      </c>
      <c r="K227" s="79" t="str">
        <f t="shared" si="23"/>
        <v>#REF!</v>
      </c>
      <c r="L227" s="27" t="s">
        <v>3515</v>
      </c>
      <c r="M227" s="27" t="str">
        <f t="shared" si="24"/>
        <v>};</v>
      </c>
      <c r="P227" s="78"/>
      <c r="Q227" s="6">
        <v>0.0</v>
      </c>
    </row>
    <row r="228" ht="12.0" customHeight="1">
      <c r="A228" s="22"/>
      <c r="B228" s="27" t="str">
        <f t="shared" si="21"/>
        <v>#REF!</v>
      </c>
      <c r="C228" s="27"/>
      <c r="D228" s="27"/>
      <c r="E228" s="27"/>
      <c r="F228" s="27"/>
      <c r="G228" s="27" t="s">
        <v>3512</v>
      </c>
      <c r="H228" s="27" t="str">
        <f t="shared" si="22"/>
        <v>#REF!</v>
      </c>
      <c r="I228" s="27" t="s">
        <v>3515</v>
      </c>
      <c r="J228" s="27" t="s">
        <v>3516</v>
      </c>
      <c r="K228" s="79" t="str">
        <f t="shared" si="23"/>
        <v>#REF!</v>
      </c>
      <c r="L228" s="27" t="s">
        <v>3515</v>
      </c>
      <c r="M228" s="27" t="str">
        <f t="shared" si="24"/>
        <v>};</v>
      </c>
      <c r="P228" s="78"/>
      <c r="Q228" s="6">
        <v>0.0</v>
      </c>
    </row>
    <row r="229" ht="12.0" customHeight="1">
      <c r="A229" s="22"/>
      <c r="B229" s="27" t="str">
        <f t="shared" si="21"/>
        <v>#REF!</v>
      </c>
      <c r="C229" s="27"/>
      <c r="D229" s="27"/>
      <c r="E229" s="27"/>
      <c r="F229" s="27"/>
      <c r="G229" s="27" t="s">
        <v>3512</v>
      </c>
      <c r="H229" s="27" t="str">
        <f t="shared" si="22"/>
        <v>#REF!</v>
      </c>
      <c r="I229" s="27" t="s">
        <v>3515</v>
      </c>
      <c r="J229" s="27" t="s">
        <v>3516</v>
      </c>
      <c r="K229" s="79" t="str">
        <f t="shared" si="23"/>
        <v>#REF!</v>
      </c>
      <c r="L229" s="27" t="s">
        <v>3515</v>
      </c>
      <c r="M229" s="27" t="str">
        <f t="shared" si="24"/>
        <v>};</v>
      </c>
      <c r="P229" s="78"/>
      <c r="Q229" s="6">
        <v>0.0</v>
      </c>
    </row>
    <row r="230" ht="12.0" customHeight="1">
      <c r="A230" s="22"/>
      <c r="B230" s="27" t="str">
        <f t="shared" si="21"/>
        <v>#REF!</v>
      </c>
      <c r="C230" s="27"/>
      <c r="D230" s="27"/>
      <c r="E230" s="27"/>
      <c r="F230" s="27"/>
      <c r="G230" s="27" t="s">
        <v>3512</v>
      </c>
      <c r="H230" s="27" t="str">
        <f t="shared" si="22"/>
        <v>#REF!</v>
      </c>
      <c r="I230" s="27" t="s">
        <v>3515</v>
      </c>
      <c r="J230" s="27" t="s">
        <v>3516</v>
      </c>
      <c r="K230" s="79" t="str">
        <f t="shared" si="23"/>
        <v>#REF!</v>
      </c>
      <c r="L230" s="27" t="s">
        <v>3515</v>
      </c>
      <c r="M230" s="27" t="str">
        <f t="shared" si="24"/>
        <v>};</v>
      </c>
      <c r="P230" s="78"/>
      <c r="Q230" s="6">
        <v>0.0</v>
      </c>
    </row>
    <row r="231" ht="12.0" customHeight="1">
      <c r="A231" s="22"/>
      <c r="B231" s="27" t="str">
        <f t="shared" si="21"/>
        <v>#REF!</v>
      </c>
      <c r="C231" s="27"/>
      <c r="D231" s="27"/>
      <c r="E231" s="27"/>
      <c r="F231" s="27"/>
      <c r="G231" s="27" t="s">
        <v>3512</v>
      </c>
      <c r="H231" s="27" t="str">
        <f t="shared" si="22"/>
        <v>#REF!</v>
      </c>
      <c r="I231" s="27" t="s">
        <v>3515</v>
      </c>
      <c r="J231" s="27" t="s">
        <v>3516</v>
      </c>
      <c r="K231" s="79" t="str">
        <f t="shared" si="23"/>
        <v>#REF!</v>
      </c>
      <c r="L231" s="27" t="s">
        <v>3515</v>
      </c>
      <c r="M231" s="27" t="str">
        <f t="shared" si="24"/>
        <v>};</v>
      </c>
      <c r="P231" s="78"/>
      <c r="Q231" s="6">
        <v>0.0</v>
      </c>
    </row>
    <row r="232" ht="12.0" customHeight="1">
      <c r="A232" s="22"/>
      <c r="B232" s="27" t="str">
        <f t="shared" si="21"/>
        <v>#REF!</v>
      </c>
      <c r="C232" s="27"/>
      <c r="D232" s="27"/>
      <c r="E232" s="27"/>
      <c r="F232" s="27"/>
      <c r="G232" s="27" t="s">
        <v>3512</v>
      </c>
      <c r="H232" s="27" t="str">
        <f t="shared" si="22"/>
        <v>#REF!</v>
      </c>
      <c r="I232" s="27" t="s">
        <v>3515</v>
      </c>
      <c r="J232" s="27" t="s">
        <v>3516</v>
      </c>
      <c r="K232" s="79" t="str">
        <f t="shared" si="23"/>
        <v>#REF!</v>
      </c>
      <c r="L232" s="27" t="s">
        <v>3515</v>
      </c>
      <c r="M232" s="27" t="str">
        <f t="shared" si="24"/>
        <v>};</v>
      </c>
      <c r="P232" s="78"/>
      <c r="Q232" s="6">
        <v>0.0</v>
      </c>
    </row>
    <row r="233" ht="12.0" customHeight="1">
      <c r="A233" s="22"/>
      <c r="B233" s="27" t="str">
        <f t="shared" si="21"/>
        <v>#REF!</v>
      </c>
      <c r="C233" s="27"/>
      <c r="D233" s="27"/>
      <c r="E233" s="27"/>
      <c r="F233" s="27"/>
      <c r="G233" s="27" t="s">
        <v>3512</v>
      </c>
      <c r="H233" s="27" t="str">
        <f t="shared" si="22"/>
        <v>#REF!</v>
      </c>
      <c r="I233" s="27" t="s">
        <v>3515</v>
      </c>
      <c r="J233" s="27" t="s">
        <v>3516</v>
      </c>
      <c r="K233" s="79" t="str">
        <f t="shared" si="23"/>
        <v>#REF!</v>
      </c>
      <c r="L233" s="27" t="s">
        <v>3515</v>
      </c>
      <c r="M233" s="27" t="str">
        <f t="shared" si="24"/>
        <v>};</v>
      </c>
      <c r="P233" s="78"/>
      <c r="Q233" s="6">
        <v>0.0</v>
      </c>
    </row>
    <row r="234" ht="12.0" customHeight="1">
      <c r="A234" s="22"/>
      <c r="B234" s="27" t="str">
        <f t="shared" si="21"/>
        <v>#REF!</v>
      </c>
      <c r="C234" s="27"/>
      <c r="D234" s="27"/>
      <c r="E234" s="27"/>
      <c r="F234" s="27"/>
      <c r="G234" s="27" t="s">
        <v>3512</v>
      </c>
      <c r="H234" s="27" t="str">
        <f t="shared" si="22"/>
        <v>#REF!</v>
      </c>
      <c r="I234" s="27" t="s">
        <v>3515</v>
      </c>
      <c r="J234" s="27" t="s">
        <v>3516</v>
      </c>
      <c r="K234" s="79" t="str">
        <f t="shared" si="23"/>
        <v>#REF!</v>
      </c>
      <c r="L234" s="27" t="s">
        <v>3515</v>
      </c>
      <c r="M234" s="27" t="str">
        <f t="shared" si="24"/>
        <v>};</v>
      </c>
      <c r="P234" s="78"/>
      <c r="Q234" s="6">
        <v>0.0</v>
      </c>
    </row>
    <row r="235" ht="12.0" customHeight="1">
      <c r="A235" s="22"/>
      <c r="B235" s="27" t="str">
        <f t="shared" si="21"/>
        <v>#REF!</v>
      </c>
      <c r="C235" s="27"/>
      <c r="D235" s="27"/>
      <c r="E235" s="27"/>
      <c r="F235" s="27"/>
      <c r="G235" s="27" t="s">
        <v>3512</v>
      </c>
      <c r="H235" s="27" t="str">
        <f t="shared" si="22"/>
        <v>#REF!</v>
      </c>
      <c r="I235" s="27" t="s">
        <v>3515</v>
      </c>
      <c r="J235" s="27" t="s">
        <v>3516</v>
      </c>
      <c r="K235" s="79" t="str">
        <f t="shared" si="23"/>
        <v>#REF!</v>
      </c>
      <c r="L235" s="27" t="s">
        <v>3515</v>
      </c>
      <c r="M235" s="27" t="str">
        <f t="shared" si="24"/>
        <v>};</v>
      </c>
      <c r="P235" s="78"/>
      <c r="Q235" s="6">
        <v>0.0</v>
      </c>
    </row>
    <row r="236" ht="12.0" customHeight="1">
      <c r="A236" s="22"/>
      <c r="B236" s="27" t="str">
        <f t="shared" si="21"/>
        <v>#REF!</v>
      </c>
      <c r="C236" s="27"/>
      <c r="D236" s="27"/>
      <c r="E236" s="27"/>
      <c r="F236" s="27"/>
      <c r="G236" s="27" t="s">
        <v>3512</v>
      </c>
      <c r="H236" s="27" t="str">
        <f t="shared" si="22"/>
        <v>#REF!</v>
      </c>
      <c r="I236" s="27" t="s">
        <v>3515</v>
      </c>
      <c r="J236" s="27" t="s">
        <v>3516</v>
      </c>
      <c r="K236" s="79" t="str">
        <f t="shared" si="23"/>
        <v>#REF!</v>
      </c>
      <c r="L236" s="27" t="s">
        <v>3515</v>
      </c>
      <c r="M236" s="27" t="str">
        <f t="shared" si="24"/>
        <v>};</v>
      </c>
      <c r="P236" s="78"/>
      <c r="Q236" s="6">
        <v>0.0</v>
      </c>
    </row>
    <row r="237" ht="12.0" customHeight="1">
      <c r="A237" s="22"/>
      <c r="B237" s="27" t="str">
        <f t="shared" si="21"/>
        <v>#REF!</v>
      </c>
      <c r="C237" s="27"/>
      <c r="D237" s="27"/>
      <c r="E237" s="27"/>
      <c r="F237" s="27"/>
      <c r="G237" s="27" t="s">
        <v>3512</v>
      </c>
      <c r="H237" s="27" t="str">
        <f t="shared" si="22"/>
        <v>#REF!</v>
      </c>
      <c r="I237" s="27" t="s">
        <v>3515</v>
      </c>
      <c r="J237" s="27" t="s">
        <v>3516</v>
      </c>
      <c r="K237" s="79" t="str">
        <f t="shared" si="23"/>
        <v>#REF!</v>
      </c>
      <c r="L237" s="27" t="s">
        <v>3515</v>
      </c>
      <c r="M237" s="27" t="str">
        <f t="shared" si="24"/>
        <v>};</v>
      </c>
      <c r="P237" s="78"/>
      <c r="Q237" s="6">
        <v>0.0</v>
      </c>
    </row>
    <row r="238" ht="12.0" customHeight="1">
      <c r="A238" s="22"/>
      <c r="B238" s="27" t="str">
        <f t="shared" si="21"/>
        <v>#REF!</v>
      </c>
      <c r="C238" s="27"/>
      <c r="D238" s="27"/>
      <c r="E238" s="27"/>
      <c r="F238" s="27"/>
      <c r="G238" s="27" t="s">
        <v>3512</v>
      </c>
      <c r="H238" s="27" t="str">
        <f t="shared" si="22"/>
        <v>#REF!</v>
      </c>
      <c r="I238" s="27" t="s">
        <v>3515</v>
      </c>
      <c r="J238" s="27" t="s">
        <v>3516</v>
      </c>
      <c r="K238" s="79" t="str">
        <f t="shared" si="23"/>
        <v>#REF!</v>
      </c>
      <c r="L238" s="27" t="s">
        <v>3515</v>
      </c>
      <c r="M238" s="27" t="str">
        <f t="shared" si="24"/>
        <v>};</v>
      </c>
      <c r="P238" s="78"/>
      <c r="Q238" s="6">
        <v>0.0</v>
      </c>
    </row>
    <row r="239" ht="12.0" customHeight="1">
      <c r="A239" s="22"/>
      <c r="B239" s="27" t="str">
        <f>'Exile INPUT'!C242</f>
        <v>#REF!</v>
      </c>
      <c r="C239" s="27"/>
      <c r="D239" s="27"/>
      <c r="E239" s="27"/>
      <c r="F239" s="27"/>
      <c r="G239" s="27" t="s">
        <v>3512</v>
      </c>
      <c r="H239" s="27" t="str">
        <f>'Exile INPUT'!E242</f>
        <v>#REF!</v>
      </c>
      <c r="I239" s="27" t="s">
        <v>3515</v>
      </c>
      <c r="J239" s="27" t="s">
        <v>3516</v>
      </c>
      <c r="K239" s="79" t="str">
        <f>'Exile INPUT'!J242</f>
        <v>#REF!</v>
      </c>
      <c r="L239" s="27" t="s">
        <v>3515</v>
      </c>
      <c r="M239" s="27" t="str">
        <f t="shared" si="24"/>
        <v>};</v>
      </c>
      <c r="P239" s="78"/>
      <c r="Q239" s="6">
        <v>0.0</v>
      </c>
    </row>
    <row r="240" ht="12.0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79"/>
      <c r="L240" s="27"/>
      <c r="M240" s="27"/>
      <c r="N240" s="27"/>
      <c r="O240" s="27"/>
      <c r="P240" s="90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2.0" customHeight="1">
      <c r="A241" s="27"/>
      <c r="B241" s="22" t="s">
        <v>174</v>
      </c>
      <c r="C241" s="27"/>
      <c r="D241" s="27"/>
      <c r="E241" s="27"/>
      <c r="F241" s="27"/>
      <c r="G241" s="27"/>
      <c r="H241" s="27"/>
      <c r="I241" s="27"/>
      <c r="J241" s="27"/>
      <c r="K241" s="79"/>
      <c r="L241" s="27"/>
      <c r="M241" s="27"/>
      <c r="N241" s="27"/>
      <c r="O241" s="27"/>
      <c r="P241" s="90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2.0" customHeight="1">
      <c r="A242" s="27"/>
      <c r="B242" s="22" t="s">
        <v>466</v>
      </c>
      <c r="C242" s="27"/>
      <c r="D242" s="27"/>
      <c r="E242" s="27"/>
      <c r="F242" s="27"/>
      <c r="G242" s="27"/>
      <c r="H242" s="27"/>
      <c r="I242" s="27"/>
      <c r="J242" s="27"/>
      <c r="K242" s="79"/>
      <c r="L242" s="27"/>
      <c r="M242" s="27"/>
      <c r="N242" s="27"/>
      <c r="O242" s="27"/>
      <c r="P242" s="90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2.0" customHeight="1">
      <c r="A243" s="22"/>
      <c r="B243" s="22" t="s">
        <v>174</v>
      </c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P243" s="78"/>
    </row>
    <row r="244" ht="12.0" customHeight="1">
      <c r="A244" s="22"/>
      <c r="B244" s="27" t="str">
        <f t="shared" ref="B244:B258" si="25">'Exile INPUT'!C244</f>
        <v>#REF!</v>
      </c>
      <c r="C244" s="27"/>
      <c r="D244" s="27"/>
      <c r="E244" s="27"/>
      <c r="F244" s="27"/>
      <c r="G244" s="27" t="s">
        <v>3512</v>
      </c>
      <c r="H244" s="27" t="str">
        <f t="shared" ref="H244:H258" si="26">'Exile INPUT'!E244</f>
        <v>#REF!</v>
      </c>
      <c r="I244" s="27" t="s">
        <v>3515</v>
      </c>
      <c r="J244" s="27" t="s">
        <v>3516</v>
      </c>
      <c r="K244" s="79" t="str">
        <f t="shared" ref="K244:K258" si="27">'Exile INPUT'!J244</f>
        <v>#REF!</v>
      </c>
      <c r="L244" s="27" t="s">
        <v>3515</v>
      </c>
      <c r="M244" s="27" t="str">
        <f t="shared" ref="M244:M258" si="28">IF(Q244 = 0, "};",CONCATENATE("sellPrice = ",Q244,"; };"))</f>
        <v>};</v>
      </c>
      <c r="P244" s="78"/>
      <c r="Q244" s="6">
        <v>0.0</v>
      </c>
    </row>
    <row r="245" ht="12.0" customHeight="1">
      <c r="A245" s="22"/>
      <c r="B245" s="27" t="str">
        <f t="shared" si="25"/>
        <v>#REF!</v>
      </c>
      <c r="C245" s="27"/>
      <c r="D245" s="27"/>
      <c r="E245" s="27"/>
      <c r="F245" s="27"/>
      <c r="G245" s="27" t="s">
        <v>3512</v>
      </c>
      <c r="H245" s="27" t="str">
        <f t="shared" si="26"/>
        <v>#REF!</v>
      </c>
      <c r="I245" s="27" t="s">
        <v>3515</v>
      </c>
      <c r="J245" s="27" t="s">
        <v>3516</v>
      </c>
      <c r="K245" s="79" t="str">
        <f t="shared" si="27"/>
        <v>#REF!</v>
      </c>
      <c r="L245" s="27" t="s">
        <v>3515</v>
      </c>
      <c r="M245" s="27" t="str">
        <f t="shared" si="28"/>
        <v>};</v>
      </c>
      <c r="P245" s="78"/>
      <c r="Q245" s="6">
        <v>0.0</v>
      </c>
    </row>
    <row r="246" ht="12.0" customHeight="1">
      <c r="A246" s="22"/>
      <c r="B246" s="27" t="str">
        <f t="shared" si="25"/>
        <v>#REF!</v>
      </c>
      <c r="C246" s="27"/>
      <c r="D246" s="27"/>
      <c r="E246" s="27"/>
      <c r="F246" s="27"/>
      <c r="G246" s="27" t="s">
        <v>3512</v>
      </c>
      <c r="H246" s="27" t="str">
        <f t="shared" si="26"/>
        <v>#REF!</v>
      </c>
      <c r="I246" s="27" t="s">
        <v>3515</v>
      </c>
      <c r="J246" s="27" t="s">
        <v>3516</v>
      </c>
      <c r="K246" s="79" t="str">
        <f t="shared" si="27"/>
        <v>#REF!</v>
      </c>
      <c r="L246" s="27" t="s">
        <v>3515</v>
      </c>
      <c r="M246" s="27" t="str">
        <f t="shared" si="28"/>
        <v>};</v>
      </c>
      <c r="P246" s="78"/>
      <c r="Q246" s="6">
        <v>0.0</v>
      </c>
    </row>
    <row r="247" ht="12.0" customHeight="1">
      <c r="A247" s="22"/>
      <c r="B247" s="27" t="str">
        <f t="shared" si="25"/>
        <v>#REF!</v>
      </c>
      <c r="C247" s="27"/>
      <c r="D247" s="27"/>
      <c r="E247" s="27"/>
      <c r="F247" s="27"/>
      <c r="G247" s="27" t="s">
        <v>3512</v>
      </c>
      <c r="H247" s="27" t="str">
        <f t="shared" si="26"/>
        <v>#REF!</v>
      </c>
      <c r="I247" s="27" t="s">
        <v>3515</v>
      </c>
      <c r="J247" s="27" t="s">
        <v>3516</v>
      </c>
      <c r="K247" s="79" t="str">
        <f t="shared" si="27"/>
        <v>#REF!</v>
      </c>
      <c r="L247" s="27" t="s">
        <v>3515</v>
      </c>
      <c r="M247" s="27" t="str">
        <f t="shared" si="28"/>
        <v>};</v>
      </c>
      <c r="P247" s="78"/>
      <c r="Q247" s="6">
        <v>0.0</v>
      </c>
    </row>
    <row r="248" ht="12.0" customHeight="1">
      <c r="A248" s="22"/>
      <c r="B248" s="27" t="str">
        <f t="shared" si="25"/>
        <v>#REF!</v>
      </c>
      <c r="C248" s="27"/>
      <c r="D248" s="27"/>
      <c r="E248" s="27"/>
      <c r="F248" s="27"/>
      <c r="G248" s="27" t="s">
        <v>3512</v>
      </c>
      <c r="H248" s="27" t="str">
        <f t="shared" si="26"/>
        <v>#REF!</v>
      </c>
      <c r="I248" s="27" t="s">
        <v>3515</v>
      </c>
      <c r="J248" s="27" t="s">
        <v>3516</v>
      </c>
      <c r="K248" s="79" t="str">
        <f t="shared" si="27"/>
        <v>#REF!</v>
      </c>
      <c r="L248" s="27" t="s">
        <v>3515</v>
      </c>
      <c r="M248" s="27" t="str">
        <f t="shared" si="28"/>
        <v>};</v>
      </c>
      <c r="P248" s="78"/>
      <c r="Q248" s="6">
        <v>0.0</v>
      </c>
    </row>
    <row r="249" ht="12.0" customHeight="1">
      <c r="A249" s="22"/>
      <c r="B249" s="27" t="str">
        <f t="shared" si="25"/>
        <v>#REF!</v>
      </c>
      <c r="C249" s="27"/>
      <c r="D249" s="27"/>
      <c r="E249" s="27"/>
      <c r="F249" s="27"/>
      <c r="G249" s="27" t="s">
        <v>3512</v>
      </c>
      <c r="H249" s="27" t="str">
        <f t="shared" si="26"/>
        <v>#REF!</v>
      </c>
      <c r="I249" s="27" t="s">
        <v>3515</v>
      </c>
      <c r="J249" s="27" t="s">
        <v>3516</v>
      </c>
      <c r="K249" s="79" t="str">
        <f t="shared" si="27"/>
        <v>#REF!</v>
      </c>
      <c r="L249" s="27" t="s">
        <v>3515</v>
      </c>
      <c r="M249" s="27" t="str">
        <f t="shared" si="28"/>
        <v>};</v>
      </c>
      <c r="P249" s="78"/>
      <c r="Q249" s="6">
        <v>0.0</v>
      </c>
    </row>
    <row r="250" ht="12.0" customHeight="1">
      <c r="A250" s="22"/>
      <c r="B250" s="27" t="str">
        <f t="shared" si="25"/>
        <v>#REF!</v>
      </c>
      <c r="C250" s="27"/>
      <c r="D250" s="27"/>
      <c r="E250" s="27"/>
      <c r="F250" s="27"/>
      <c r="G250" s="27" t="s">
        <v>3512</v>
      </c>
      <c r="H250" s="27" t="str">
        <f t="shared" si="26"/>
        <v>#REF!</v>
      </c>
      <c r="I250" s="27" t="s">
        <v>3515</v>
      </c>
      <c r="J250" s="27" t="s">
        <v>3516</v>
      </c>
      <c r="K250" s="79" t="str">
        <f t="shared" si="27"/>
        <v>#REF!</v>
      </c>
      <c r="L250" s="27" t="s">
        <v>3515</v>
      </c>
      <c r="M250" s="27" t="str">
        <f t="shared" si="28"/>
        <v>};</v>
      </c>
      <c r="P250" s="78"/>
      <c r="Q250" s="6">
        <v>0.0</v>
      </c>
    </row>
    <row r="251" ht="12.0" customHeight="1">
      <c r="A251" s="22"/>
      <c r="B251" s="27" t="str">
        <f t="shared" si="25"/>
        <v>#REF!</v>
      </c>
      <c r="C251" s="27"/>
      <c r="D251" s="27"/>
      <c r="E251" s="27"/>
      <c r="F251" s="27"/>
      <c r="G251" s="27" t="s">
        <v>3512</v>
      </c>
      <c r="H251" s="27" t="str">
        <f t="shared" si="26"/>
        <v>#REF!</v>
      </c>
      <c r="I251" s="27" t="s">
        <v>3515</v>
      </c>
      <c r="J251" s="27" t="s">
        <v>3516</v>
      </c>
      <c r="K251" s="79" t="str">
        <f t="shared" si="27"/>
        <v>#REF!</v>
      </c>
      <c r="L251" s="27" t="s">
        <v>3515</v>
      </c>
      <c r="M251" s="27" t="str">
        <f t="shared" si="28"/>
        <v>};</v>
      </c>
      <c r="P251" s="78"/>
      <c r="Q251" s="6">
        <v>0.0</v>
      </c>
    </row>
    <row r="252" ht="12.0" customHeight="1">
      <c r="A252" s="22"/>
      <c r="B252" s="27" t="str">
        <f t="shared" si="25"/>
        <v>#REF!</v>
      </c>
      <c r="C252" s="27"/>
      <c r="D252" s="27"/>
      <c r="E252" s="27"/>
      <c r="F252" s="27"/>
      <c r="G252" s="27" t="s">
        <v>3512</v>
      </c>
      <c r="H252" s="27" t="str">
        <f t="shared" si="26"/>
        <v>#REF!</v>
      </c>
      <c r="I252" s="27" t="s">
        <v>3515</v>
      </c>
      <c r="J252" s="27" t="s">
        <v>3516</v>
      </c>
      <c r="K252" s="79" t="str">
        <f t="shared" si="27"/>
        <v>#REF!</v>
      </c>
      <c r="L252" s="27" t="s">
        <v>3515</v>
      </c>
      <c r="M252" s="27" t="str">
        <f t="shared" si="28"/>
        <v>};</v>
      </c>
      <c r="P252" s="78"/>
      <c r="Q252" s="6">
        <v>0.0</v>
      </c>
    </row>
    <row r="253" ht="12.0" customHeight="1">
      <c r="A253" s="22"/>
      <c r="B253" s="27" t="str">
        <f t="shared" si="25"/>
        <v>#REF!</v>
      </c>
      <c r="C253" s="27"/>
      <c r="D253" s="27"/>
      <c r="E253" s="27"/>
      <c r="F253" s="27"/>
      <c r="G253" s="27" t="s">
        <v>3512</v>
      </c>
      <c r="H253" s="27" t="str">
        <f t="shared" si="26"/>
        <v>#REF!</v>
      </c>
      <c r="I253" s="27" t="s">
        <v>3515</v>
      </c>
      <c r="J253" s="27" t="s">
        <v>3516</v>
      </c>
      <c r="K253" s="79" t="str">
        <f t="shared" si="27"/>
        <v>#REF!</v>
      </c>
      <c r="L253" s="27" t="s">
        <v>3515</v>
      </c>
      <c r="M253" s="27" t="str">
        <f t="shared" si="28"/>
        <v>};</v>
      </c>
      <c r="P253" s="78"/>
      <c r="Q253" s="6">
        <v>0.0</v>
      </c>
    </row>
    <row r="254" ht="12.0" customHeight="1">
      <c r="A254" s="22"/>
      <c r="B254" s="27" t="str">
        <f t="shared" si="25"/>
        <v>#REF!</v>
      </c>
      <c r="C254" s="27"/>
      <c r="D254" s="27"/>
      <c r="E254" s="27"/>
      <c r="F254" s="27"/>
      <c r="G254" s="27" t="s">
        <v>3512</v>
      </c>
      <c r="H254" s="27" t="str">
        <f t="shared" si="26"/>
        <v>#REF!</v>
      </c>
      <c r="I254" s="27" t="s">
        <v>3515</v>
      </c>
      <c r="J254" s="27" t="s">
        <v>3516</v>
      </c>
      <c r="K254" s="79" t="str">
        <f t="shared" si="27"/>
        <v>#REF!</v>
      </c>
      <c r="L254" s="27" t="s">
        <v>3515</v>
      </c>
      <c r="M254" s="27" t="str">
        <f t="shared" si="28"/>
        <v>};</v>
      </c>
      <c r="P254" s="78"/>
      <c r="Q254" s="6">
        <v>0.0</v>
      </c>
    </row>
    <row r="255" ht="12.0" customHeight="1">
      <c r="A255" s="22"/>
      <c r="B255" s="27" t="str">
        <f t="shared" si="25"/>
        <v>#REF!</v>
      </c>
      <c r="C255" s="27"/>
      <c r="D255" s="27"/>
      <c r="E255" s="27"/>
      <c r="F255" s="27"/>
      <c r="G255" s="27" t="s">
        <v>3512</v>
      </c>
      <c r="H255" s="27" t="str">
        <f t="shared" si="26"/>
        <v>#REF!</v>
      </c>
      <c r="I255" s="27" t="s">
        <v>3515</v>
      </c>
      <c r="J255" s="27" t="s">
        <v>3516</v>
      </c>
      <c r="K255" s="79" t="str">
        <f t="shared" si="27"/>
        <v>#REF!</v>
      </c>
      <c r="L255" s="27" t="s">
        <v>3515</v>
      </c>
      <c r="M255" s="27" t="str">
        <f t="shared" si="28"/>
        <v>};</v>
      </c>
      <c r="P255" s="78"/>
      <c r="Q255" s="6">
        <v>0.0</v>
      </c>
    </row>
    <row r="256" ht="12.0" customHeight="1">
      <c r="A256" s="22"/>
      <c r="B256" s="27" t="str">
        <f t="shared" si="25"/>
        <v>#REF!</v>
      </c>
      <c r="C256" s="27"/>
      <c r="D256" s="27"/>
      <c r="E256" s="27"/>
      <c r="F256" s="27"/>
      <c r="G256" s="27" t="s">
        <v>3512</v>
      </c>
      <c r="H256" s="27" t="str">
        <f t="shared" si="26"/>
        <v>#REF!</v>
      </c>
      <c r="I256" s="27" t="s">
        <v>3515</v>
      </c>
      <c r="J256" s="27" t="s">
        <v>3516</v>
      </c>
      <c r="K256" s="79" t="str">
        <f t="shared" si="27"/>
        <v>#REF!</v>
      </c>
      <c r="L256" s="27" t="s">
        <v>3515</v>
      </c>
      <c r="M256" s="27" t="str">
        <f t="shared" si="28"/>
        <v>};</v>
      </c>
      <c r="P256" s="78"/>
      <c r="Q256" s="6">
        <v>0.0</v>
      </c>
    </row>
    <row r="257" ht="12.0" customHeight="1">
      <c r="A257" s="22"/>
      <c r="B257" s="27" t="str">
        <f t="shared" si="25"/>
        <v>#REF!</v>
      </c>
      <c r="C257" s="27"/>
      <c r="D257" s="27"/>
      <c r="E257" s="27"/>
      <c r="F257" s="27"/>
      <c r="G257" s="27" t="s">
        <v>3512</v>
      </c>
      <c r="H257" s="27" t="str">
        <f t="shared" si="26"/>
        <v>#REF!</v>
      </c>
      <c r="I257" s="27" t="s">
        <v>3515</v>
      </c>
      <c r="J257" s="27" t="s">
        <v>3516</v>
      </c>
      <c r="K257" s="79" t="str">
        <f t="shared" si="27"/>
        <v>#REF!</v>
      </c>
      <c r="L257" s="27" t="s">
        <v>3515</v>
      </c>
      <c r="M257" s="27" t="str">
        <f t="shared" si="28"/>
        <v>};</v>
      </c>
      <c r="P257" s="78"/>
      <c r="Q257" s="6">
        <v>0.0</v>
      </c>
    </row>
    <row r="258" ht="12.0" customHeight="1">
      <c r="A258" s="22"/>
      <c r="B258" s="27" t="str">
        <f t="shared" si="25"/>
        <v>#REF!</v>
      </c>
      <c r="C258" s="27"/>
      <c r="D258" s="27"/>
      <c r="E258" s="27"/>
      <c r="F258" s="27"/>
      <c r="G258" s="27" t="s">
        <v>3512</v>
      </c>
      <c r="H258" s="27" t="str">
        <f t="shared" si="26"/>
        <v>#REF!</v>
      </c>
      <c r="I258" s="27" t="s">
        <v>3515</v>
      </c>
      <c r="J258" s="27" t="s">
        <v>3516</v>
      </c>
      <c r="K258" s="79" t="str">
        <f t="shared" si="27"/>
        <v>#REF!</v>
      </c>
      <c r="L258" s="27" t="s">
        <v>3515</v>
      </c>
      <c r="M258" s="27" t="str">
        <f t="shared" si="28"/>
        <v>};</v>
      </c>
      <c r="P258" s="78"/>
      <c r="Q258" s="6">
        <v>0.0</v>
      </c>
    </row>
    <row r="259" ht="12.0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79"/>
      <c r="L259" s="27"/>
      <c r="M259" s="27"/>
      <c r="N259" s="27"/>
      <c r="O259" s="27"/>
      <c r="P259" s="90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2.0" customHeight="1">
      <c r="A260" s="27"/>
      <c r="B260" s="22" t="s">
        <v>174</v>
      </c>
      <c r="C260" s="27"/>
      <c r="D260" s="27"/>
      <c r="E260" s="27"/>
      <c r="F260" s="27"/>
      <c r="G260" s="27"/>
      <c r="H260" s="27"/>
      <c r="I260" s="27"/>
      <c r="J260" s="27"/>
      <c r="K260" s="79"/>
      <c r="L260" s="27"/>
      <c r="M260" s="27"/>
      <c r="N260" s="27"/>
      <c r="O260" s="27"/>
      <c r="P260" s="90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2.0" customHeight="1">
      <c r="A261" s="27"/>
      <c r="B261" s="22" t="s">
        <v>482</v>
      </c>
      <c r="C261" s="27"/>
      <c r="D261" s="27"/>
      <c r="E261" s="27"/>
      <c r="F261" s="27"/>
      <c r="G261" s="27"/>
      <c r="H261" s="27"/>
      <c r="I261" s="27"/>
      <c r="J261" s="27"/>
      <c r="K261" s="79"/>
      <c r="L261" s="27"/>
      <c r="M261" s="27"/>
      <c r="N261" s="27"/>
      <c r="O261" s="27"/>
      <c r="P261" s="90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2.0" customHeight="1">
      <c r="A262" s="22"/>
      <c r="B262" s="22" t="s">
        <v>174</v>
      </c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P262" s="78"/>
    </row>
    <row r="263" ht="12.0" customHeight="1">
      <c r="A263" s="22"/>
      <c r="B263" s="27" t="str">
        <f t="shared" ref="B263:B274" si="29">'Exile INPUT'!C260</f>
        <v>#REF!</v>
      </c>
      <c r="C263" s="27"/>
      <c r="D263" s="27"/>
      <c r="E263" s="27"/>
      <c r="F263" s="27"/>
      <c r="G263" s="27" t="s">
        <v>3512</v>
      </c>
      <c r="H263" s="27" t="str">
        <f t="shared" ref="H263:H274" si="30">'Exile INPUT'!E260</f>
        <v>#REF!</v>
      </c>
      <c r="I263" s="27" t="s">
        <v>3515</v>
      </c>
      <c r="J263" s="27" t="s">
        <v>3516</v>
      </c>
      <c r="K263" s="79" t="str">
        <f t="shared" ref="K263:K274" si="31">'Exile INPUT'!J260</f>
        <v>#REF!</v>
      </c>
      <c r="L263" s="27" t="s">
        <v>3515</v>
      </c>
      <c r="M263" s="27" t="str">
        <f t="shared" ref="M263:M274" si="32">IF(Q263 = 0, "};",CONCATENATE("sellPrice = ",Q263,"; };"))</f>
        <v>};</v>
      </c>
      <c r="P263" s="78"/>
      <c r="Q263" s="6">
        <v>0.0</v>
      </c>
    </row>
    <row r="264" ht="12.0" customHeight="1">
      <c r="A264" s="22"/>
      <c r="B264" s="27" t="str">
        <f t="shared" si="29"/>
        <v>#REF!</v>
      </c>
      <c r="C264" s="27"/>
      <c r="D264" s="27"/>
      <c r="E264" s="27"/>
      <c r="F264" s="27"/>
      <c r="G264" s="27" t="s">
        <v>3512</v>
      </c>
      <c r="H264" s="27" t="str">
        <f t="shared" si="30"/>
        <v>#REF!</v>
      </c>
      <c r="I264" s="27" t="s">
        <v>3515</v>
      </c>
      <c r="J264" s="27" t="s">
        <v>3516</v>
      </c>
      <c r="K264" s="79" t="str">
        <f t="shared" si="31"/>
        <v>#REF!</v>
      </c>
      <c r="L264" s="27" t="s">
        <v>3515</v>
      </c>
      <c r="M264" s="27" t="str">
        <f t="shared" si="32"/>
        <v>};</v>
      </c>
      <c r="P264" s="78"/>
      <c r="Q264" s="6">
        <v>0.0</v>
      </c>
    </row>
    <row r="265" ht="12.0" customHeight="1">
      <c r="A265" s="22"/>
      <c r="B265" s="27" t="str">
        <f t="shared" si="29"/>
        <v>#REF!</v>
      </c>
      <c r="C265" s="27"/>
      <c r="D265" s="27"/>
      <c r="E265" s="27"/>
      <c r="F265" s="27"/>
      <c r="G265" s="27" t="s">
        <v>3512</v>
      </c>
      <c r="H265" s="27" t="str">
        <f t="shared" si="30"/>
        <v>#REF!</v>
      </c>
      <c r="I265" s="27" t="s">
        <v>3515</v>
      </c>
      <c r="J265" s="27" t="s">
        <v>3516</v>
      </c>
      <c r="K265" s="79" t="str">
        <f t="shared" si="31"/>
        <v>#REF!</v>
      </c>
      <c r="L265" s="27" t="s">
        <v>3515</v>
      </c>
      <c r="M265" s="27" t="str">
        <f t="shared" si="32"/>
        <v>};</v>
      </c>
      <c r="P265" s="78"/>
      <c r="Q265" s="6">
        <v>0.0</v>
      </c>
    </row>
    <row r="266" ht="12.0" customHeight="1">
      <c r="A266" s="22"/>
      <c r="B266" s="27" t="str">
        <f t="shared" si="29"/>
        <v>#REF!</v>
      </c>
      <c r="C266" s="27"/>
      <c r="D266" s="27"/>
      <c r="E266" s="27"/>
      <c r="F266" s="27"/>
      <c r="G266" s="27" t="s">
        <v>3512</v>
      </c>
      <c r="H266" s="27" t="str">
        <f t="shared" si="30"/>
        <v>#REF!</v>
      </c>
      <c r="I266" s="27" t="s">
        <v>3515</v>
      </c>
      <c r="J266" s="27" t="s">
        <v>3516</v>
      </c>
      <c r="K266" s="79" t="str">
        <f t="shared" si="31"/>
        <v>#REF!</v>
      </c>
      <c r="L266" s="27" t="s">
        <v>3515</v>
      </c>
      <c r="M266" s="27" t="str">
        <f t="shared" si="32"/>
        <v>};</v>
      </c>
      <c r="P266" s="78"/>
      <c r="Q266" s="6">
        <v>0.0</v>
      </c>
    </row>
    <row r="267" ht="12.0" customHeight="1">
      <c r="A267" s="22"/>
      <c r="B267" s="27" t="str">
        <f t="shared" si="29"/>
        <v>#REF!</v>
      </c>
      <c r="C267" s="27"/>
      <c r="D267" s="27"/>
      <c r="E267" s="27"/>
      <c r="F267" s="27"/>
      <c r="G267" s="27" t="s">
        <v>3512</v>
      </c>
      <c r="H267" s="27" t="str">
        <f t="shared" si="30"/>
        <v>#REF!</v>
      </c>
      <c r="I267" s="27" t="s">
        <v>3515</v>
      </c>
      <c r="J267" s="27" t="s">
        <v>3516</v>
      </c>
      <c r="K267" s="79" t="str">
        <f t="shared" si="31"/>
        <v>#REF!</v>
      </c>
      <c r="L267" s="27" t="s">
        <v>3515</v>
      </c>
      <c r="M267" s="27" t="str">
        <f t="shared" si="32"/>
        <v>};</v>
      </c>
      <c r="P267" s="78"/>
      <c r="Q267" s="6">
        <v>0.0</v>
      </c>
    </row>
    <row r="268" ht="12.0" customHeight="1">
      <c r="A268" s="22"/>
      <c r="B268" s="27" t="str">
        <f t="shared" si="29"/>
        <v>#REF!</v>
      </c>
      <c r="C268" s="27"/>
      <c r="D268" s="27"/>
      <c r="E268" s="27"/>
      <c r="F268" s="27"/>
      <c r="G268" s="27" t="s">
        <v>3512</v>
      </c>
      <c r="H268" s="27" t="str">
        <f t="shared" si="30"/>
        <v>#REF!</v>
      </c>
      <c r="I268" s="27" t="s">
        <v>3515</v>
      </c>
      <c r="J268" s="27" t="s">
        <v>3516</v>
      </c>
      <c r="K268" s="79" t="str">
        <f t="shared" si="31"/>
        <v>#REF!</v>
      </c>
      <c r="L268" s="27" t="s">
        <v>3515</v>
      </c>
      <c r="M268" s="27" t="str">
        <f t="shared" si="32"/>
        <v>};</v>
      </c>
      <c r="P268" s="78"/>
      <c r="Q268" s="6">
        <v>0.0</v>
      </c>
    </row>
    <row r="269" ht="12.0" customHeight="1">
      <c r="A269" s="22"/>
      <c r="B269" s="27" t="str">
        <f t="shared" si="29"/>
        <v>#REF!</v>
      </c>
      <c r="C269" s="27"/>
      <c r="D269" s="27"/>
      <c r="E269" s="27"/>
      <c r="F269" s="27"/>
      <c r="G269" s="27" t="s">
        <v>3512</v>
      </c>
      <c r="H269" s="27" t="str">
        <f t="shared" si="30"/>
        <v>#REF!</v>
      </c>
      <c r="I269" s="27" t="s">
        <v>3515</v>
      </c>
      <c r="J269" s="27" t="s">
        <v>3516</v>
      </c>
      <c r="K269" s="79" t="str">
        <f t="shared" si="31"/>
        <v>#REF!</v>
      </c>
      <c r="L269" s="27" t="s">
        <v>3515</v>
      </c>
      <c r="M269" s="27" t="str">
        <f t="shared" si="32"/>
        <v>};</v>
      </c>
      <c r="P269" s="78"/>
      <c r="Q269" s="6">
        <v>0.0</v>
      </c>
    </row>
    <row r="270" ht="12.0" customHeight="1">
      <c r="A270" s="22"/>
      <c r="B270" s="27" t="str">
        <f t="shared" si="29"/>
        <v>#REF!</v>
      </c>
      <c r="C270" s="27"/>
      <c r="D270" s="27"/>
      <c r="E270" s="27"/>
      <c r="F270" s="27"/>
      <c r="G270" s="27" t="s">
        <v>3512</v>
      </c>
      <c r="H270" s="27" t="str">
        <f t="shared" si="30"/>
        <v>#REF!</v>
      </c>
      <c r="I270" s="27" t="s">
        <v>3515</v>
      </c>
      <c r="J270" s="27" t="s">
        <v>3516</v>
      </c>
      <c r="K270" s="79" t="str">
        <f t="shared" si="31"/>
        <v>#REF!</v>
      </c>
      <c r="L270" s="27" t="s">
        <v>3515</v>
      </c>
      <c r="M270" s="27" t="str">
        <f t="shared" si="32"/>
        <v>};</v>
      </c>
      <c r="P270" s="78"/>
      <c r="Q270" s="6">
        <v>0.0</v>
      </c>
    </row>
    <row r="271" ht="12.0" customHeight="1">
      <c r="A271" s="22"/>
      <c r="B271" s="27" t="str">
        <f t="shared" si="29"/>
        <v>#REF!</v>
      </c>
      <c r="C271" s="27"/>
      <c r="D271" s="27"/>
      <c r="E271" s="27"/>
      <c r="F271" s="27"/>
      <c r="G271" s="27" t="s">
        <v>3512</v>
      </c>
      <c r="H271" s="27" t="str">
        <f t="shared" si="30"/>
        <v>#REF!</v>
      </c>
      <c r="I271" s="27" t="s">
        <v>3515</v>
      </c>
      <c r="J271" s="27" t="s">
        <v>3516</v>
      </c>
      <c r="K271" s="79" t="str">
        <f t="shared" si="31"/>
        <v>#REF!</v>
      </c>
      <c r="L271" s="27" t="s">
        <v>3515</v>
      </c>
      <c r="M271" s="27" t="str">
        <f t="shared" si="32"/>
        <v>};</v>
      </c>
      <c r="P271" s="78"/>
      <c r="Q271" s="6">
        <v>0.0</v>
      </c>
    </row>
    <row r="272" ht="12.0" customHeight="1">
      <c r="A272" s="22"/>
      <c r="B272" s="27" t="str">
        <f t="shared" si="29"/>
        <v>#REF!</v>
      </c>
      <c r="C272" s="27"/>
      <c r="D272" s="27"/>
      <c r="E272" s="27"/>
      <c r="F272" s="27"/>
      <c r="G272" s="27" t="s">
        <v>3512</v>
      </c>
      <c r="H272" s="27" t="str">
        <f t="shared" si="30"/>
        <v>#REF!</v>
      </c>
      <c r="I272" s="27" t="s">
        <v>3515</v>
      </c>
      <c r="J272" s="27" t="s">
        <v>3516</v>
      </c>
      <c r="K272" s="79" t="str">
        <f t="shared" si="31"/>
        <v>#REF!</v>
      </c>
      <c r="L272" s="27" t="s">
        <v>3515</v>
      </c>
      <c r="M272" s="27" t="str">
        <f t="shared" si="32"/>
        <v>};</v>
      </c>
      <c r="P272" s="78"/>
      <c r="Q272" s="6">
        <v>0.0</v>
      </c>
    </row>
    <row r="273" ht="12.0" customHeight="1">
      <c r="A273" s="22"/>
      <c r="B273" s="27" t="str">
        <f t="shared" si="29"/>
        <v>#REF!</v>
      </c>
      <c r="C273" s="27"/>
      <c r="D273" s="27"/>
      <c r="E273" s="27"/>
      <c r="F273" s="27"/>
      <c r="G273" s="27" t="s">
        <v>3512</v>
      </c>
      <c r="H273" s="27" t="str">
        <f t="shared" si="30"/>
        <v>#REF!</v>
      </c>
      <c r="I273" s="27" t="s">
        <v>3515</v>
      </c>
      <c r="J273" s="27" t="s">
        <v>3516</v>
      </c>
      <c r="K273" s="79" t="str">
        <f t="shared" si="31"/>
        <v>#REF!</v>
      </c>
      <c r="L273" s="27" t="s">
        <v>3515</v>
      </c>
      <c r="M273" s="27" t="str">
        <f t="shared" si="32"/>
        <v>};</v>
      </c>
      <c r="P273" s="78"/>
      <c r="Q273" s="6">
        <v>0.0</v>
      </c>
    </row>
    <row r="274" ht="12.0" customHeight="1">
      <c r="A274" s="22"/>
      <c r="B274" s="27" t="str">
        <f t="shared" si="29"/>
        <v>#REF!</v>
      </c>
      <c r="C274" s="27"/>
      <c r="D274" s="27"/>
      <c r="E274" s="27"/>
      <c r="F274" s="27"/>
      <c r="G274" s="27" t="s">
        <v>3512</v>
      </c>
      <c r="H274" s="27" t="str">
        <f t="shared" si="30"/>
        <v>#REF!</v>
      </c>
      <c r="I274" s="27" t="s">
        <v>3515</v>
      </c>
      <c r="J274" s="27" t="s">
        <v>3516</v>
      </c>
      <c r="K274" s="79" t="str">
        <f t="shared" si="31"/>
        <v>#REF!</v>
      </c>
      <c r="L274" s="27" t="s">
        <v>3515</v>
      </c>
      <c r="M274" s="27" t="str">
        <f t="shared" si="32"/>
        <v>};</v>
      </c>
      <c r="P274" s="78"/>
      <c r="Q274" s="6">
        <v>0.0</v>
      </c>
    </row>
    <row r="275" ht="12.0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79"/>
      <c r="L275" s="27"/>
      <c r="M275" s="27"/>
      <c r="N275" s="27"/>
      <c r="O275" s="27"/>
      <c r="P275" s="90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2.0" customHeight="1">
      <c r="A276" s="27"/>
      <c r="B276" s="22" t="s">
        <v>174</v>
      </c>
      <c r="C276" s="27"/>
      <c r="D276" s="27"/>
      <c r="E276" s="27"/>
      <c r="F276" s="27"/>
      <c r="G276" s="27"/>
      <c r="H276" s="27"/>
      <c r="I276" s="27"/>
      <c r="J276" s="27"/>
      <c r="K276" s="79"/>
      <c r="L276" s="27"/>
      <c r="M276" s="27"/>
      <c r="N276" s="27"/>
      <c r="O276" s="27"/>
      <c r="P276" s="90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2.0" customHeight="1">
      <c r="A277" s="27"/>
      <c r="B277" s="22" t="s">
        <v>496</v>
      </c>
      <c r="C277" s="27"/>
      <c r="D277" s="27"/>
      <c r="E277" s="27"/>
      <c r="F277" s="27"/>
      <c r="G277" s="27"/>
      <c r="H277" s="27"/>
      <c r="I277" s="27"/>
      <c r="J277" s="27"/>
      <c r="K277" s="79"/>
      <c r="L277" s="27"/>
      <c r="M277" s="27"/>
      <c r="N277" s="27"/>
      <c r="O277" s="27"/>
      <c r="P277" s="90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2.0" customHeight="1">
      <c r="A278" s="22"/>
      <c r="B278" s="22" t="s">
        <v>174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P278" s="78"/>
    </row>
    <row r="279" ht="12.0" customHeight="1">
      <c r="A279" s="22"/>
      <c r="B279" s="27" t="str">
        <f t="shared" ref="B279:B281" si="33">'Exile INPUT'!C273</f>
        <v>#REF!</v>
      </c>
      <c r="C279" s="27"/>
      <c r="D279" s="27"/>
      <c r="E279" s="27"/>
      <c r="F279" s="27"/>
      <c r="G279" s="27" t="s">
        <v>3512</v>
      </c>
      <c r="H279" s="27" t="str">
        <f t="shared" ref="H279:H281" si="34">'Exile INPUT'!E273</f>
        <v>#REF!</v>
      </c>
      <c r="I279" s="27" t="s">
        <v>3515</v>
      </c>
      <c r="J279" s="27" t="s">
        <v>3516</v>
      </c>
      <c r="K279" s="79" t="str">
        <f t="shared" ref="K279:K281" si="35">'Exile INPUT'!J273</f>
        <v>#REF!</v>
      </c>
      <c r="L279" s="27" t="s">
        <v>3515</v>
      </c>
      <c r="M279" s="27" t="str">
        <f t="shared" ref="M279:M282" si="36">IF(Q279 = 0, "};",CONCATENATE("sellPrice = ",Q279,"; };"))</f>
        <v>};</v>
      </c>
      <c r="P279" s="78"/>
      <c r="Q279" s="6">
        <v>0.0</v>
      </c>
    </row>
    <row r="280" ht="12.0" customHeight="1">
      <c r="A280" s="22"/>
      <c r="B280" s="27" t="str">
        <f t="shared" si="33"/>
        <v>#REF!</v>
      </c>
      <c r="C280" s="27"/>
      <c r="D280" s="27"/>
      <c r="E280" s="27"/>
      <c r="F280" s="27"/>
      <c r="G280" s="27" t="s">
        <v>3512</v>
      </c>
      <c r="H280" s="27" t="str">
        <f t="shared" si="34"/>
        <v>#REF!</v>
      </c>
      <c r="I280" s="27" t="s">
        <v>3515</v>
      </c>
      <c r="J280" s="27" t="s">
        <v>3516</v>
      </c>
      <c r="K280" s="79" t="str">
        <f t="shared" si="35"/>
        <v>#REF!</v>
      </c>
      <c r="L280" s="27" t="s">
        <v>3515</v>
      </c>
      <c r="M280" s="27" t="str">
        <f t="shared" si="36"/>
        <v>};</v>
      </c>
      <c r="P280" s="78"/>
      <c r="Q280" s="6">
        <v>0.0</v>
      </c>
    </row>
    <row r="281" ht="12.0" customHeight="1">
      <c r="A281" s="22"/>
      <c r="B281" s="27" t="str">
        <f t="shared" si="33"/>
        <v>#REF!</v>
      </c>
      <c r="C281" s="27"/>
      <c r="D281" s="27"/>
      <c r="E281" s="27"/>
      <c r="F281" s="27"/>
      <c r="G281" s="27" t="s">
        <v>3512</v>
      </c>
      <c r="H281" s="27" t="str">
        <f t="shared" si="34"/>
        <v>#REF!</v>
      </c>
      <c r="I281" s="27" t="s">
        <v>3515</v>
      </c>
      <c r="J281" s="27" t="s">
        <v>3516</v>
      </c>
      <c r="K281" s="79" t="str">
        <f t="shared" si="35"/>
        <v>#REF!</v>
      </c>
      <c r="L281" s="27" t="s">
        <v>3515</v>
      </c>
      <c r="M281" s="27" t="str">
        <f t="shared" si="36"/>
        <v>};</v>
      </c>
      <c r="P281" s="78"/>
      <c r="Q281" s="6">
        <v>0.0</v>
      </c>
    </row>
    <row r="282" ht="12.0" customHeight="1">
      <c r="A282" s="22"/>
      <c r="B282" s="27" t="str">
        <f>'Exile INPUT'!C241</f>
        <v>#REF!</v>
      </c>
      <c r="C282" s="27"/>
      <c r="D282" s="27"/>
      <c r="E282" s="27"/>
      <c r="F282" s="27"/>
      <c r="G282" s="27" t="s">
        <v>3512</v>
      </c>
      <c r="H282" s="27" t="str">
        <f>'Exile INPUT'!E241</f>
        <v>#REF!</v>
      </c>
      <c r="I282" s="27" t="s">
        <v>3515</v>
      </c>
      <c r="J282" s="27" t="s">
        <v>3516</v>
      </c>
      <c r="K282" s="79" t="str">
        <f>'Exile INPUT'!J241</f>
        <v>#REF!</v>
      </c>
      <c r="L282" s="27" t="s">
        <v>3515</v>
      </c>
      <c r="M282" s="27" t="str">
        <f t="shared" si="36"/>
        <v>};</v>
      </c>
      <c r="P282" s="78"/>
      <c r="Q282" s="6">
        <v>0.0</v>
      </c>
    </row>
    <row r="283" ht="12.0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79"/>
      <c r="L283" s="27"/>
      <c r="M283" s="27"/>
      <c r="N283" s="27"/>
      <c r="O283" s="27"/>
      <c r="P283" s="90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2.0" customHeight="1">
      <c r="A284" s="27"/>
      <c r="B284" s="22" t="s">
        <v>174</v>
      </c>
      <c r="C284" s="27"/>
      <c r="D284" s="27"/>
      <c r="E284" s="27"/>
      <c r="F284" s="27"/>
      <c r="G284" s="27"/>
      <c r="H284" s="27"/>
      <c r="I284" s="27"/>
      <c r="J284" s="27"/>
      <c r="K284" s="79"/>
      <c r="L284" s="27"/>
      <c r="M284" s="27"/>
      <c r="N284" s="27"/>
      <c r="O284" s="27"/>
      <c r="P284" s="90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2.0" customHeight="1">
      <c r="A285" s="27"/>
      <c r="B285" s="22" t="s">
        <v>500</v>
      </c>
      <c r="C285" s="27"/>
      <c r="D285" s="27"/>
      <c r="E285" s="27"/>
      <c r="F285" s="27"/>
      <c r="G285" s="27"/>
      <c r="H285" s="27"/>
      <c r="I285" s="27"/>
      <c r="J285" s="27"/>
      <c r="K285" s="79"/>
      <c r="L285" s="27"/>
      <c r="M285" s="27"/>
      <c r="N285" s="27"/>
      <c r="O285" s="27"/>
      <c r="P285" s="90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2.0" customHeight="1">
      <c r="A286" s="22"/>
      <c r="B286" s="22" t="s">
        <v>174</v>
      </c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P286" s="78"/>
    </row>
    <row r="287" ht="12.0" customHeight="1">
      <c r="A287" s="22"/>
      <c r="B287" s="27" t="str">
        <f t="shared" ref="B287:B291" si="37">'Exile INPUT'!C278</f>
        <v>#REF!</v>
      </c>
      <c r="C287" s="27"/>
      <c r="D287" s="27"/>
      <c r="E287" s="27"/>
      <c r="F287" s="27"/>
      <c r="G287" s="27" t="s">
        <v>3512</v>
      </c>
      <c r="H287" s="27" t="str">
        <f t="shared" ref="H287:H291" si="38">'Exile INPUT'!E278</f>
        <v>#REF!</v>
      </c>
      <c r="I287" s="27" t="s">
        <v>3515</v>
      </c>
      <c r="J287" s="27" t="s">
        <v>3516</v>
      </c>
      <c r="K287" s="79" t="str">
        <f t="shared" ref="K287:K291" si="39">'Exile INPUT'!J278</f>
        <v>#REF!</v>
      </c>
      <c r="L287" s="27" t="s">
        <v>3515</v>
      </c>
      <c r="M287" s="27" t="str">
        <f t="shared" ref="M287:M291" si="40">IF(Q287 = 0, "};",CONCATENATE("sellPrice = ",Q287,"; };"))</f>
        <v>};</v>
      </c>
      <c r="P287" s="78"/>
      <c r="Q287" s="6">
        <v>0.0</v>
      </c>
    </row>
    <row r="288" ht="12.0" customHeight="1">
      <c r="A288" s="22"/>
      <c r="B288" s="27" t="str">
        <f t="shared" si="37"/>
        <v>#REF!</v>
      </c>
      <c r="C288" s="27"/>
      <c r="D288" s="27"/>
      <c r="E288" s="27"/>
      <c r="F288" s="27"/>
      <c r="G288" s="27" t="s">
        <v>3512</v>
      </c>
      <c r="H288" s="27" t="str">
        <f t="shared" si="38"/>
        <v>#REF!</v>
      </c>
      <c r="I288" s="27" t="s">
        <v>3515</v>
      </c>
      <c r="J288" s="27" t="s">
        <v>3516</v>
      </c>
      <c r="K288" s="79" t="str">
        <f t="shared" si="39"/>
        <v>#REF!</v>
      </c>
      <c r="L288" s="27" t="s">
        <v>3515</v>
      </c>
      <c r="M288" s="27" t="str">
        <f t="shared" si="40"/>
        <v>};</v>
      </c>
      <c r="P288" s="78"/>
      <c r="Q288" s="6">
        <v>0.0</v>
      </c>
    </row>
    <row r="289" ht="12.0" customHeight="1">
      <c r="A289" s="22"/>
      <c r="B289" s="27" t="str">
        <f t="shared" si="37"/>
        <v>#REF!</v>
      </c>
      <c r="C289" s="27"/>
      <c r="D289" s="27"/>
      <c r="E289" s="27"/>
      <c r="F289" s="27"/>
      <c r="G289" s="27" t="s">
        <v>3512</v>
      </c>
      <c r="H289" s="27" t="str">
        <f t="shared" si="38"/>
        <v>#REF!</v>
      </c>
      <c r="I289" s="27" t="s">
        <v>3515</v>
      </c>
      <c r="J289" s="27" t="s">
        <v>3516</v>
      </c>
      <c r="K289" s="79" t="str">
        <f t="shared" si="39"/>
        <v>#REF!</v>
      </c>
      <c r="L289" s="27" t="s">
        <v>3515</v>
      </c>
      <c r="M289" s="27" t="str">
        <f t="shared" si="40"/>
        <v>};</v>
      </c>
      <c r="P289" s="78"/>
      <c r="Q289" s="6">
        <v>0.0</v>
      </c>
    </row>
    <row r="290" ht="12.0" customHeight="1">
      <c r="A290" s="22"/>
      <c r="B290" s="27" t="str">
        <f t="shared" si="37"/>
        <v>#REF!</v>
      </c>
      <c r="C290" s="27"/>
      <c r="D290" s="27"/>
      <c r="E290" s="27"/>
      <c r="F290" s="27"/>
      <c r="G290" s="27" t="s">
        <v>3512</v>
      </c>
      <c r="H290" s="27" t="str">
        <f t="shared" si="38"/>
        <v>#REF!</v>
      </c>
      <c r="I290" s="27" t="s">
        <v>3515</v>
      </c>
      <c r="J290" s="27" t="s">
        <v>3516</v>
      </c>
      <c r="K290" s="79" t="str">
        <f t="shared" si="39"/>
        <v>#REF!</v>
      </c>
      <c r="L290" s="27" t="s">
        <v>3515</v>
      </c>
      <c r="M290" s="27" t="str">
        <f t="shared" si="40"/>
        <v>};</v>
      </c>
      <c r="P290" s="78"/>
      <c r="Q290" s="6">
        <v>0.0</v>
      </c>
    </row>
    <row r="291" ht="12.0" customHeight="1">
      <c r="A291" s="22"/>
      <c r="B291" s="27" t="str">
        <f t="shared" si="37"/>
        <v>#REF!</v>
      </c>
      <c r="C291" s="27"/>
      <c r="D291" s="27"/>
      <c r="E291" s="27"/>
      <c r="F291" s="27"/>
      <c r="G291" s="27" t="s">
        <v>3512</v>
      </c>
      <c r="H291" s="27" t="str">
        <f t="shared" si="38"/>
        <v>#REF!</v>
      </c>
      <c r="I291" s="27" t="s">
        <v>3515</v>
      </c>
      <c r="J291" s="27" t="s">
        <v>3516</v>
      </c>
      <c r="K291" s="79" t="str">
        <f t="shared" si="39"/>
        <v>#REF!</v>
      </c>
      <c r="L291" s="27" t="s">
        <v>3515</v>
      </c>
      <c r="M291" s="27" t="str">
        <f t="shared" si="40"/>
        <v>};</v>
      </c>
      <c r="P291" s="78"/>
      <c r="Q291" s="6">
        <v>0.0</v>
      </c>
    </row>
    <row r="292" ht="12.0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P292" s="78"/>
    </row>
    <row r="293" ht="12.0" customHeight="1">
      <c r="A293" s="22"/>
      <c r="B293" s="22" t="s">
        <v>174</v>
      </c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P293" s="78"/>
    </row>
    <row r="294" ht="12.0" customHeight="1">
      <c r="A294" s="22"/>
      <c r="B294" s="22" t="s">
        <v>506</v>
      </c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P294" s="78"/>
    </row>
    <row r="295" ht="12.0" customHeight="1">
      <c r="A295" s="22"/>
      <c r="B295" s="22" t="s">
        <v>174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P295" s="78"/>
    </row>
    <row r="296" ht="12.0" customHeight="1">
      <c r="A296" s="22"/>
      <c r="B296" s="27" t="str">
        <f t="shared" ref="B296:B301" si="41">'Exile INPUT'!C288</f>
        <v>#REF!</v>
      </c>
      <c r="C296" s="27"/>
      <c r="D296" s="27"/>
      <c r="E296" s="27"/>
      <c r="F296" s="27"/>
      <c r="G296" s="27" t="s">
        <v>3512</v>
      </c>
      <c r="H296" s="27" t="str">
        <f t="shared" ref="H296:H301" si="42">'Exile INPUT'!H288</f>
        <v>#REF!</v>
      </c>
      <c r="I296" s="27" t="s">
        <v>3515</v>
      </c>
      <c r="J296" s="27" t="s">
        <v>3516</v>
      </c>
      <c r="K296" s="79" t="str">
        <f t="shared" ref="K296:K301" si="43">'Exile INPUT'!J288</f>
        <v>#REF!</v>
      </c>
      <c r="L296" s="27" t="s">
        <v>3515</v>
      </c>
      <c r="M296" s="27" t="str">
        <f t="shared" ref="M296:M301" si="44">IF(Q296 = 0, "};",CONCATENATE("sellPrice = ",Q296,"; };"))</f>
        <v>};</v>
      </c>
      <c r="P296" s="78"/>
      <c r="Q296" s="6">
        <v>0.0</v>
      </c>
    </row>
    <row r="297" ht="12.0" customHeight="1">
      <c r="A297" s="22"/>
      <c r="B297" s="27" t="str">
        <f t="shared" si="41"/>
        <v>#REF!</v>
      </c>
      <c r="C297" s="27"/>
      <c r="D297" s="27"/>
      <c r="E297" s="27"/>
      <c r="F297" s="27"/>
      <c r="G297" s="27" t="s">
        <v>3512</v>
      </c>
      <c r="H297" s="27" t="str">
        <f t="shared" si="42"/>
        <v>#REF!</v>
      </c>
      <c r="I297" s="27" t="s">
        <v>3515</v>
      </c>
      <c r="J297" s="27" t="s">
        <v>3516</v>
      </c>
      <c r="K297" s="79" t="str">
        <f t="shared" si="43"/>
        <v>#REF!</v>
      </c>
      <c r="L297" s="27" t="s">
        <v>3515</v>
      </c>
      <c r="M297" s="27" t="str">
        <f t="shared" si="44"/>
        <v>};</v>
      </c>
      <c r="P297" s="78"/>
      <c r="Q297" s="6">
        <v>0.0</v>
      </c>
    </row>
    <row r="298" ht="12.0" customHeight="1">
      <c r="A298" s="22"/>
      <c r="B298" s="27" t="str">
        <f t="shared" si="41"/>
        <v>#REF!</v>
      </c>
      <c r="C298" s="27"/>
      <c r="D298" s="27"/>
      <c r="E298" s="27"/>
      <c r="F298" s="27"/>
      <c r="G298" s="27" t="s">
        <v>3512</v>
      </c>
      <c r="H298" s="27" t="str">
        <f t="shared" si="42"/>
        <v>#REF!</v>
      </c>
      <c r="I298" s="27" t="s">
        <v>3515</v>
      </c>
      <c r="J298" s="27" t="s">
        <v>3516</v>
      </c>
      <c r="K298" s="79" t="str">
        <f t="shared" si="43"/>
        <v>#REF!</v>
      </c>
      <c r="L298" s="27" t="s">
        <v>3515</v>
      </c>
      <c r="M298" s="27" t="str">
        <f t="shared" si="44"/>
        <v>};</v>
      </c>
      <c r="P298" s="78"/>
      <c r="Q298" s="6">
        <v>0.0</v>
      </c>
    </row>
    <row r="299" ht="12.0" customHeight="1">
      <c r="A299" s="22"/>
      <c r="B299" s="27" t="str">
        <f t="shared" si="41"/>
        <v>#REF!</v>
      </c>
      <c r="C299" s="27"/>
      <c r="D299" s="27"/>
      <c r="E299" s="27"/>
      <c r="F299" s="27"/>
      <c r="G299" s="27" t="s">
        <v>3512</v>
      </c>
      <c r="H299" s="27" t="str">
        <f t="shared" si="42"/>
        <v>#REF!</v>
      </c>
      <c r="I299" s="27" t="s">
        <v>3515</v>
      </c>
      <c r="J299" s="27" t="s">
        <v>3516</v>
      </c>
      <c r="K299" s="79" t="str">
        <f t="shared" si="43"/>
        <v>#REF!</v>
      </c>
      <c r="L299" s="27" t="s">
        <v>3515</v>
      </c>
      <c r="M299" s="27" t="str">
        <f t="shared" si="44"/>
        <v>};</v>
      </c>
      <c r="P299" s="78"/>
      <c r="Q299" s="6">
        <v>0.0</v>
      </c>
    </row>
    <row r="300" ht="12.0" customHeight="1">
      <c r="A300" s="22"/>
      <c r="B300" s="27" t="str">
        <f t="shared" si="41"/>
        <v>#REF!</v>
      </c>
      <c r="C300" s="27"/>
      <c r="D300" s="27"/>
      <c r="E300" s="27"/>
      <c r="F300" s="27"/>
      <c r="G300" s="27" t="s">
        <v>3512</v>
      </c>
      <c r="H300" s="27" t="str">
        <f t="shared" si="42"/>
        <v>#REF!</v>
      </c>
      <c r="I300" s="27" t="s">
        <v>3515</v>
      </c>
      <c r="J300" s="27" t="s">
        <v>3516</v>
      </c>
      <c r="K300" s="79" t="str">
        <f t="shared" si="43"/>
        <v>#REF!</v>
      </c>
      <c r="L300" s="27" t="s">
        <v>3515</v>
      </c>
      <c r="M300" s="27" t="str">
        <f t="shared" si="44"/>
        <v>};</v>
      </c>
      <c r="P300" s="78"/>
      <c r="Q300" s="6">
        <v>0.0</v>
      </c>
    </row>
    <row r="301" ht="12.0" customHeight="1">
      <c r="A301" s="22"/>
      <c r="B301" s="27" t="str">
        <f t="shared" si="41"/>
        <v>#REF!</v>
      </c>
      <c r="C301" s="27"/>
      <c r="D301" s="27"/>
      <c r="E301" s="27"/>
      <c r="F301" s="27"/>
      <c r="G301" s="27" t="s">
        <v>3512</v>
      </c>
      <c r="H301" s="27" t="str">
        <f t="shared" si="42"/>
        <v>#REF!</v>
      </c>
      <c r="I301" s="27" t="s">
        <v>3515</v>
      </c>
      <c r="J301" s="27" t="s">
        <v>3516</v>
      </c>
      <c r="K301" s="79" t="str">
        <f t="shared" si="43"/>
        <v>#REF!</v>
      </c>
      <c r="L301" s="27" t="s">
        <v>3515</v>
      </c>
      <c r="M301" s="27" t="str">
        <f t="shared" si="44"/>
        <v>};</v>
      </c>
      <c r="P301" s="78"/>
      <c r="Q301" s="6">
        <v>0.0</v>
      </c>
    </row>
    <row r="302" ht="12.0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79"/>
      <c r="L302" s="27"/>
      <c r="M302" s="27"/>
      <c r="N302" s="27"/>
      <c r="O302" s="27"/>
      <c r="P302" s="90"/>
      <c r="Q302" s="6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2.0" customHeight="1">
      <c r="A303" s="27"/>
      <c r="B303" s="22" t="s">
        <v>174</v>
      </c>
      <c r="C303" s="27"/>
      <c r="D303" s="27"/>
      <c r="E303" s="27"/>
      <c r="F303" s="27"/>
      <c r="G303" s="27"/>
      <c r="H303" s="27"/>
      <c r="I303" s="27"/>
      <c r="J303" s="27"/>
      <c r="K303" s="79"/>
      <c r="L303" s="27"/>
      <c r="M303" s="27"/>
      <c r="N303" s="27"/>
      <c r="O303" s="27"/>
      <c r="P303" s="90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2.0" customHeight="1">
      <c r="A304" s="27"/>
      <c r="B304" s="22" t="s">
        <v>513</v>
      </c>
      <c r="C304" s="27"/>
      <c r="D304" s="27"/>
      <c r="E304" s="27"/>
      <c r="F304" s="27"/>
      <c r="G304" s="27"/>
      <c r="H304" s="27"/>
      <c r="I304" s="27"/>
      <c r="J304" s="27"/>
      <c r="K304" s="79"/>
      <c r="L304" s="27"/>
      <c r="M304" s="27"/>
      <c r="N304" s="27"/>
      <c r="O304" s="27"/>
      <c r="P304" s="90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2.0" customHeight="1">
      <c r="A305" s="22"/>
      <c r="B305" s="22" t="s">
        <v>174</v>
      </c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P305" s="78"/>
    </row>
    <row r="306" ht="12.0" customHeight="1">
      <c r="A306" s="22"/>
      <c r="B306" s="27" t="str">
        <f t="shared" ref="B306:B308" si="45">'Exile INPUT'!C295</f>
        <v>#REF!</v>
      </c>
      <c r="C306" s="27"/>
      <c r="D306" s="27"/>
      <c r="E306" s="27"/>
      <c r="F306" s="27"/>
      <c r="G306" s="27" t="s">
        <v>3512</v>
      </c>
      <c r="H306" s="27" t="str">
        <f t="shared" ref="H306:H308" si="46">'Exile INPUT'!H295</f>
        <v>#REF!</v>
      </c>
      <c r="I306" s="27" t="s">
        <v>3515</v>
      </c>
      <c r="J306" s="27" t="s">
        <v>3516</v>
      </c>
      <c r="K306" s="79" t="str">
        <f t="shared" ref="K306:K308" si="47">'Exile INPUT'!J295</f>
        <v>#REF!</v>
      </c>
      <c r="L306" s="27" t="s">
        <v>3515</v>
      </c>
      <c r="M306" s="27" t="str">
        <f t="shared" ref="M306:M308" si="48">IF(Q306 = 0, "};",CONCATENATE("sellPrice = ",Q306,"; };"))</f>
        <v>};</v>
      </c>
      <c r="P306" s="78"/>
      <c r="Q306" s="6">
        <v>0.0</v>
      </c>
    </row>
    <row r="307" ht="12.0" customHeight="1">
      <c r="A307" s="22"/>
      <c r="B307" s="27" t="str">
        <f t="shared" si="45"/>
        <v>#REF!</v>
      </c>
      <c r="C307" s="27"/>
      <c r="D307" s="27"/>
      <c r="E307" s="27"/>
      <c r="F307" s="27"/>
      <c r="G307" s="27" t="s">
        <v>3512</v>
      </c>
      <c r="H307" s="27" t="str">
        <f t="shared" si="46"/>
        <v>#REF!</v>
      </c>
      <c r="I307" s="27" t="s">
        <v>3515</v>
      </c>
      <c r="J307" s="27" t="s">
        <v>3516</v>
      </c>
      <c r="K307" s="79" t="str">
        <f t="shared" si="47"/>
        <v>#REF!</v>
      </c>
      <c r="L307" s="27" t="s">
        <v>3515</v>
      </c>
      <c r="M307" s="27" t="str">
        <f t="shared" si="48"/>
        <v>};</v>
      </c>
      <c r="P307" s="78"/>
      <c r="Q307" s="6">
        <v>0.0</v>
      </c>
    </row>
    <row r="308" ht="12.0" customHeight="1">
      <c r="A308" s="22"/>
      <c r="B308" s="27" t="str">
        <f t="shared" si="45"/>
        <v>#REF!</v>
      </c>
      <c r="C308" s="27"/>
      <c r="D308" s="27"/>
      <c r="E308" s="27"/>
      <c r="F308" s="27"/>
      <c r="G308" s="27" t="s">
        <v>3512</v>
      </c>
      <c r="H308" s="27" t="str">
        <f t="shared" si="46"/>
        <v>#REF!</v>
      </c>
      <c r="I308" s="27" t="s">
        <v>3515</v>
      </c>
      <c r="J308" s="27" t="s">
        <v>3516</v>
      </c>
      <c r="K308" s="79" t="str">
        <f t="shared" si="47"/>
        <v>#REF!</v>
      </c>
      <c r="L308" s="27" t="s">
        <v>3515</v>
      </c>
      <c r="M308" s="27" t="str">
        <f t="shared" si="48"/>
        <v>};</v>
      </c>
      <c r="P308" s="78"/>
      <c r="Q308" s="6">
        <v>0.0</v>
      </c>
    </row>
    <row r="309" ht="12.0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79"/>
      <c r="L309" s="27"/>
      <c r="M309" s="27"/>
      <c r="N309" s="27"/>
      <c r="O309" s="27"/>
      <c r="P309" s="90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2.0" customHeight="1">
      <c r="A310" s="27"/>
      <c r="B310" s="22" t="s">
        <v>174</v>
      </c>
      <c r="C310" s="27"/>
      <c r="D310" s="27"/>
      <c r="E310" s="27"/>
      <c r="F310" s="27"/>
      <c r="G310" s="27"/>
      <c r="H310" s="27"/>
      <c r="I310" s="27"/>
      <c r="J310" s="27"/>
      <c r="K310" s="79"/>
      <c r="L310" s="27"/>
      <c r="M310" s="27"/>
      <c r="N310" s="27"/>
      <c r="O310" s="27"/>
      <c r="P310" s="90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2.0" customHeight="1">
      <c r="A311" s="27"/>
      <c r="B311" s="22" t="s">
        <v>517</v>
      </c>
      <c r="C311" s="27"/>
      <c r="D311" s="27"/>
      <c r="E311" s="27"/>
      <c r="F311" s="27"/>
      <c r="G311" s="27"/>
      <c r="H311" s="27"/>
      <c r="I311" s="27"/>
      <c r="J311" s="27"/>
      <c r="K311" s="79"/>
      <c r="L311" s="27"/>
      <c r="M311" s="27"/>
      <c r="N311" s="27"/>
      <c r="O311" s="27"/>
      <c r="P311" s="90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2.0" customHeight="1">
      <c r="A312" s="22"/>
      <c r="B312" s="22" t="s">
        <v>174</v>
      </c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7"/>
      <c r="P312" s="78"/>
    </row>
    <row r="313" ht="12.0" customHeight="1">
      <c r="A313" s="22"/>
      <c r="B313" s="27" t="str">
        <f t="shared" ref="B313:B321" si="49">'Exile INPUT'!C299</f>
        <v>#REF!</v>
      </c>
      <c r="C313" s="27"/>
      <c r="D313" s="27"/>
      <c r="E313" s="27"/>
      <c r="F313" s="27"/>
      <c r="G313" s="27" t="s">
        <v>3512</v>
      </c>
      <c r="H313" s="27" t="str">
        <f t="shared" ref="H313:H321" si="50">'Exile INPUT'!H299</f>
        <v>#REF!</v>
      </c>
      <c r="I313" s="27" t="s">
        <v>3515</v>
      </c>
      <c r="J313" s="27" t="s">
        <v>3516</v>
      </c>
      <c r="K313" s="79" t="str">
        <f t="shared" ref="K313:K321" si="51">'Exile INPUT'!J299</f>
        <v>#REF!</v>
      </c>
      <c r="L313" s="27" t="s">
        <v>3515</v>
      </c>
      <c r="M313" s="27" t="str">
        <f t="shared" ref="M313:M321" si="52">IF(Q313 = 0, "};",CONCATENATE("sellPrice = ",Q313,"; };"))</f>
        <v>};</v>
      </c>
      <c r="P313" s="78"/>
      <c r="Q313" s="6">
        <v>0.0</v>
      </c>
    </row>
    <row r="314" ht="12.0" customHeight="1">
      <c r="A314" s="22"/>
      <c r="B314" s="27" t="str">
        <f t="shared" si="49"/>
        <v>#REF!</v>
      </c>
      <c r="C314" s="27"/>
      <c r="D314" s="27"/>
      <c r="E314" s="27"/>
      <c r="F314" s="27"/>
      <c r="G314" s="27" t="s">
        <v>3512</v>
      </c>
      <c r="H314" s="27" t="str">
        <f t="shared" si="50"/>
        <v>#REF!</v>
      </c>
      <c r="I314" s="27" t="s">
        <v>3515</v>
      </c>
      <c r="J314" s="27" t="s">
        <v>3516</v>
      </c>
      <c r="K314" s="79" t="str">
        <f t="shared" si="51"/>
        <v>#REF!</v>
      </c>
      <c r="L314" s="27" t="s">
        <v>3515</v>
      </c>
      <c r="M314" s="27" t="str">
        <f t="shared" si="52"/>
        <v>};</v>
      </c>
      <c r="P314" s="78"/>
      <c r="Q314" s="6">
        <v>0.0</v>
      </c>
    </row>
    <row r="315" ht="12.0" customHeight="1">
      <c r="A315" s="22"/>
      <c r="B315" s="27" t="str">
        <f t="shared" si="49"/>
        <v>#REF!</v>
      </c>
      <c r="C315" s="27"/>
      <c r="D315" s="27"/>
      <c r="E315" s="27"/>
      <c r="F315" s="27"/>
      <c r="G315" s="27" t="s">
        <v>3512</v>
      </c>
      <c r="H315" s="27" t="str">
        <f t="shared" si="50"/>
        <v>#REF!</v>
      </c>
      <c r="I315" s="27" t="s">
        <v>3515</v>
      </c>
      <c r="J315" s="27" t="s">
        <v>3516</v>
      </c>
      <c r="K315" s="79" t="str">
        <f t="shared" si="51"/>
        <v>#REF!</v>
      </c>
      <c r="L315" s="27" t="s">
        <v>3515</v>
      </c>
      <c r="M315" s="27" t="str">
        <f t="shared" si="52"/>
        <v>};</v>
      </c>
      <c r="P315" s="78"/>
      <c r="Q315" s="6">
        <v>0.0</v>
      </c>
    </row>
    <row r="316" ht="12.0" customHeight="1">
      <c r="A316" s="22"/>
      <c r="B316" s="27" t="str">
        <f t="shared" si="49"/>
        <v>#REF!</v>
      </c>
      <c r="C316" s="27"/>
      <c r="D316" s="27"/>
      <c r="E316" s="27"/>
      <c r="F316" s="27"/>
      <c r="G316" s="27" t="s">
        <v>3512</v>
      </c>
      <c r="H316" s="27" t="str">
        <f t="shared" si="50"/>
        <v>#REF!</v>
      </c>
      <c r="I316" s="27" t="s">
        <v>3515</v>
      </c>
      <c r="J316" s="27" t="s">
        <v>3516</v>
      </c>
      <c r="K316" s="79" t="str">
        <f t="shared" si="51"/>
        <v>#REF!</v>
      </c>
      <c r="L316" s="27" t="s">
        <v>3515</v>
      </c>
      <c r="M316" s="27" t="str">
        <f t="shared" si="52"/>
        <v>};</v>
      </c>
      <c r="P316" s="78"/>
      <c r="Q316" s="6">
        <v>0.0</v>
      </c>
    </row>
    <row r="317" ht="12.0" customHeight="1">
      <c r="A317" s="22"/>
      <c r="B317" s="27" t="str">
        <f t="shared" si="49"/>
        <v>#REF!</v>
      </c>
      <c r="C317" s="27"/>
      <c r="D317" s="27"/>
      <c r="E317" s="27"/>
      <c r="F317" s="27"/>
      <c r="G317" s="27" t="s">
        <v>3512</v>
      </c>
      <c r="H317" s="27" t="str">
        <f t="shared" si="50"/>
        <v>#REF!</v>
      </c>
      <c r="I317" s="27" t="s">
        <v>3515</v>
      </c>
      <c r="J317" s="27" t="s">
        <v>3516</v>
      </c>
      <c r="K317" s="79" t="str">
        <f t="shared" si="51"/>
        <v>#REF!</v>
      </c>
      <c r="L317" s="27" t="s">
        <v>3515</v>
      </c>
      <c r="M317" s="27" t="str">
        <f t="shared" si="52"/>
        <v>};</v>
      </c>
      <c r="P317" s="78"/>
      <c r="Q317" s="6">
        <v>0.0</v>
      </c>
    </row>
    <row r="318" ht="12.0" customHeight="1">
      <c r="A318" s="22"/>
      <c r="B318" s="27" t="str">
        <f t="shared" si="49"/>
        <v>#REF!</v>
      </c>
      <c r="C318" s="27"/>
      <c r="D318" s="27"/>
      <c r="E318" s="27"/>
      <c r="F318" s="27"/>
      <c r="G318" s="27" t="s">
        <v>3512</v>
      </c>
      <c r="H318" s="27" t="str">
        <f t="shared" si="50"/>
        <v>#REF!</v>
      </c>
      <c r="I318" s="27" t="s">
        <v>3515</v>
      </c>
      <c r="J318" s="27" t="s">
        <v>3516</v>
      </c>
      <c r="K318" s="79" t="str">
        <f t="shared" si="51"/>
        <v>#REF!</v>
      </c>
      <c r="L318" s="27" t="s">
        <v>3515</v>
      </c>
      <c r="M318" s="27" t="str">
        <f t="shared" si="52"/>
        <v>};</v>
      </c>
      <c r="P318" s="78"/>
      <c r="Q318" s="6">
        <v>0.0</v>
      </c>
    </row>
    <row r="319" ht="12.0" customHeight="1">
      <c r="A319" s="22"/>
      <c r="B319" s="27" t="str">
        <f t="shared" si="49"/>
        <v>#REF!</v>
      </c>
      <c r="C319" s="27"/>
      <c r="D319" s="27"/>
      <c r="E319" s="27"/>
      <c r="F319" s="27"/>
      <c r="G319" s="27" t="s">
        <v>3512</v>
      </c>
      <c r="H319" s="27" t="str">
        <f t="shared" si="50"/>
        <v>#REF!</v>
      </c>
      <c r="I319" s="27" t="s">
        <v>3515</v>
      </c>
      <c r="J319" s="27" t="s">
        <v>3516</v>
      </c>
      <c r="K319" s="79" t="str">
        <f t="shared" si="51"/>
        <v>#REF!</v>
      </c>
      <c r="L319" s="27" t="s">
        <v>3515</v>
      </c>
      <c r="M319" s="27" t="str">
        <f t="shared" si="52"/>
        <v>};</v>
      </c>
      <c r="P319" s="78"/>
      <c r="Q319" s="6">
        <v>0.0</v>
      </c>
    </row>
    <row r="320" ht="12.0" customHeight="1">
      <c r="A320" s="22"/>
      <c r="B320" s="27" t="str">
        <f t="shared" si="49"/>
        <v>#REF!</v>
      </c>
      <c r="C320" s="27"/>
      <c r="D320" s="27"/>
      <c r="E320" s="27"/>
      <c r="F320" s="27"/>
      <c r="G320" s="27" t="s">
        <v>3512</v>
      </c>
      <c r="H320" s="27" t="str">
        <f t="shared" si="50"/>
        <v>#REF!</v>
      </c>
      <c r="I320" s="27" t="s">
        <v>3515</v>
      </c>
      <c r="J320" s="27" t="s">
        <v>3516</v>
      </c>
      <c r="K320" s="79" t="str">
        <f t="shared" si="51"/>
        <v>#REF!</v>
      </c>
      <c r="L320" s="27" t="s">
        <v>3515</v>
      </c>
      <c r="M320" s="27" t="str">
        <f t="shared" si="52"/>
        <v>};</v>
      </c>
      <c r="P320" s="78"/>
      <c r="Q320" s="6">
        <v>0.0</v>
      </c>
    </row>
    <row r="321" ht="12.0" customHeight="1">
      <c r="A321" s="22"/>
      <c r="B321" s="27" t="str">
        <f t="shared" si="49"/>
        <v>#REF!</v>
      </c>
      <c r="C321" s="27"/>
      <c r="D321" s="27"/>
      <c r="E321" s="27"/>
      <c r="F321" s="27"/>
      <c r="G321" s="27" t="s">
        <v>3512</v>
      </c>
      <c r="H321" s="27" t="str">
        <f t="shared" si="50"/>
        <v>#REF!</v>
      </c>
      <c r="I321" s="27" t="s">
        <v>3515</v>
      </c>
      <c r="J321" s="27" t="s">
        <v>3516</v>
      </c>
      <c r="K321" s="79" t="str">
        <f t="shared" si="51"/>
        <v>#REF!</v>
      </c>
      <c r="L321" s="27" t="s">
        <v>3515</v>
      </c>
      <c r="M321" s="27" t="str">
        <f t="shared" si="52"/>
        <v>};</v>
      </c>
      <c r="P321" s="78"/>
      <c r="Q321" s="6">
        <v>0.0</v>
      </c>
    </row>
    <row r="322" ht="12.0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79"/>
      <c r="L322" s="27"/>
      <c r="M322" s="27"/>
      <c r="N322" s="27"/>
      <c r="O322" s="27"/>
      <c r="P322" s="90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2.0" customHeight="1">
      <c r="A323" s="27"/>
      <c r="B323" s="22" t="s">
        <v>174</v>
      </c>
      <c r="C323" s="27"/>
      <c r="D323" s="27"/>
      <c r="E323" s="27"/>
      <c r="F323" s="27"/>
      <c r="G323" s="27"/>
      <c r="H323" s="27"/>
      <c r="I323" s="27"/>
      <c r="J323" s="27"/>
      <c r="K323" s="79"/>
      <c r="L323" s="27"/>
      <c r="M323" s="27"/>
      <c r="N323" s="27"/>
      <c r="O323" s="27"/>
      <c r="P323" s="90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2.0" customHeight="1">
      <c r="A324" s="27"/>
      <c r="B324" s="22" t="s">
        <v>527</v>
      </c>
      <c r="C324" s="27"/>
      <c r="D324" s="27"/>
      <c r="E324" s="27"/>
      <c r="F324" s="27"/>
      <c r="G324" s="27"/>
      <c r="H324" s="27"/>
      <c r="I324" s="27"/>
      <c r="J324" s="27"/>
      <c r="K324" s="79"/>
      <c r="L324" s="27"/>
      <c r="M324" s="27"/>
      <c r="N324" s="27"/>
      <c r="O324" s="27"/>
      <c r="P324" s="90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2.0" customHeight="1">
      <c r="A325" s="22"/>
      <c r="B325" s="22" t="s">
        <v>174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P325" s="78"/>
    </row>
    <row r="326" ht="12.0" customHeight="1">
      <c r="A326" s="22"/>
      <c r="B326" s="27" t="str">
        <f t="shared" ref="B326:B344" si="53">'Exile INPUT'!C309</f>
        <v>#REF!</v>
      </c>
      <c r="C326" s="27"/>
      <c r="D326" s="27"/>
      <c r="E326" s="27"/>
      <c r="F326" s="27"/>
      <c r="G326" s="27" t="s">
        <v>3512</v>
      </c>
      <c r="H326" s="27" t="str">
        <f t="shared" ref="H326:H344" si="54">'Exile INPUT'!H309</f>
        <v>#REF!</v>
      </c>
      <c r="I326" s="27" t="s">
        <v>3515</v>
      </c>
      <c r="J326" s="27" t="s">
        <v>3516</v>
      </c>
      <c r="K326" s="79" t="str">
        <f t="shared" ref="K326:K344" si="55">'Exile INPUT'!J309</f>
        <v>#REF!</v>
      </c>
      <c r="L326" s="27" t="s">
        <v>3515</v>
      </c>
      <c r="M326" s="27" t="str">
        <f t="shared" ref="M326:M344" si="56">IF(Q326 = 0, "};",CONCATENATE("sellPrice = ",Q326,"; };"))</f>
        <v>};</v>
      </c>
      <c r="P326" s="78"/>
      <c r="Q326" s="6">
        <v>0.0</v>
      </c>
    </row>
    <row r="327" ht="12.0" customHeight="1">
      <c r="A327" s="22"/>
      <c r="B327" s="27" t="str">
        <f t="shared" si="53"/>
        <v>#REF!</v>
      </c>
      <c r="C327" s="27"/>
      <c r="D327" s="27"/>
      <c r="E327" s="27"/>
      <c r="F327" s="27"/>
      <c r="G327" s="27" t="s">
        <v>3512</v>
      </c>
      <c r="H327" s="27" t="str">
        <f t="shared" si="54"/>
        <v>#REF!</v>
      </c>
      <c r="I327" s="27" t="s">
        <v>3515</v>
      </c>
      <c r="J327" s="27" t="s">
        <v>3516</v>
      </c>
      <c r="K327" s="79" t="str">
        <f t="shared" si="55"/>
        <v>#REF!</v>
      </c>
      <c r="L327" s="27" t="s">
        <v>3515</v>
      </c>
      <c r="M327" s="27" t="str">
        <f t="shared" si="56"/>
        <v>};</v>
      </c>
      <c r="P327" s="78"/>
      <c r="Q327" s="6">
        <v>0.0</v>
      </c>
    </row>
    <row r="328" ht="12.0" customHeight="1">
      <c r="A328" s="22"/>
      <c r="B328" s="27" t="str">
        <f t="shared" si="53"/>
        <v>#REF!</v>
      </c>
      <c r="C328" s="27"/>
      <c r="D328" s="27"/>
      <c r="E328" s="27"/>
      <c r="F328" s="27"/>
      <c r="G328" s="27" t="s">
        <v>3512</v>
      </c>
      <c r="H328" s="27" t="str">
        <f t="shared" si="54"/>
        <v>#REF!</v>
      </c>
      <c r="I328" s="27" t="s">
        <v>3515</v>
      </c>
      <c r="J328" s="27" t="s">
        <v>3516</v>
      </c>
      <c r="K328" s="79" t="str">
        <f t="shared" si="55"/>
        <v>#REF!</v>
      </c>
      <c r="L328" s="27" t="s">
        <v>3515</v>
      </c>
      <c r="M328" s="27" t="str">
        <f t="shared" si="56"/>
        <v>};</v>
      </c>
      <c r="P328" s="78"/>
      <c r="Q328" s="6">
        <v>0.0</v>
      </c>
    </row>
    <row r="329" ht="12.0" customHeight="1">
      <c r="A329" s="22"/>
      <c r="B329" s="27" t="str">
        <f t="shared" si="53"/>
        <v>#REF!</v>
      </c>
      <c r="C329" s="27"/>
      <c r="D329" s="27"/>
      <c r="E329" s="27"/>
      <c r="F329" s="27"/>
      <c r="G329" s="27" t="s">
        <v>3512</v>
      </c>
      <c r="H329" s="27" t="str">
        <f t="shared" si="54"/>
        <v>#REF!</v>
      </c>
      <c r="I329" s="27" t="s">
        <v>3515</v>
      </c>
      <c r="J329" s="27" t="s">
        <v>3516</v>
      </c>
      <c r="K329" s="79" t="str">
        <f t="shared" si="55"/>
        <v>#REF!</v>
      </c>
      <c r="L329" s="27" t="s">
        <v>3515</v>
      </c>
      <c r="M329" s="27" t="str">
        <f t="shared" si="56"/>
        <v>};</v>
      </c>
      <c r="P329" s="78"/>
      <c r="Q329" s="6">
        <v>0.0</v>
      </c>
    </row>
    <row r="330" ht="12.0" customHeight="1">
      <c r="A330" s="22"/>
      <c r="B330" s="27" t="str">
        <f t="shared" si="53"/>
        <v>#REF!</v>
      </c>
      <c r="C330" s="27"/>
      <c r="D330" s="27"/>
      <c r="E330" s="27"/>
      <c r="F330" s="27"/>
      <c r="G330" s="27" t="s">
        <v>3512</v>
      </c>
      <c r="H330" s="27" t="str">
        <f t="shared" si="54"/>
        <v>#REF!</v>
      </c>
      <c r="I330" s="27" t="s">
        <v>3515</v>
      </c>
      <c r="J330" s="27" t="s">
        <v>3516</v>
      </c>
      <c r="K330" s="79" t="str">
        <f t="shared" si="55"/>
        <v>#REF!</v>
      </c>
      <c r="L330" s="27" t="s">
        <v>3515</v>
      </c>
      <c r="M330" s="27" t="str">
        <f t="shared" si="56"/>
        <v>};</v>
      </c>
      <c r="P330" s="78"/>
      <c r="Q330" s="6">
        <v>0.0</v>
      </c>
    </row>
    <row r="331" ht="12.0" customHeight="1">
      <c r="A331" s="22"/>
      <c r="B331" s="27" t="str">
        <f t="shared" si="53"/>
        <v>#REF!</v>
      </c>
      <c r="C331" s="27"/>
      <c r="D331" s="27"/>
      <c r="E331" s="27"/>
      <c r="F331" s="27"/>
      <c r="G331" s="27" t="s">
        <v>3512</v>
      </c>
      <c r="H331" s="27" t="str">
        <f t="shared" si="54"/>
        <v>#REF!</v>
      </c>
      <c r="I331" s="27" t="s">
        <v>3515</v>
      </c>
      <c r="J331" s="27" t="s">
        <v>3516</v>
      </c>
      <c r="K331" s="79" t="str">
        <f t="shared" si="55"/>
        <v>#REF!</v>
      </c>
      <c r="L331" s="27" t="s">
        <v>3515</v>
      </c>
      <c r="M331" s="27" t="str">
        <f t="shared" si="56"/>
        <v>};</v>
      </c>
      <c r="P331" s="78"/>
      <c r="Q331" s="6">
        <v>0.0</v>
      </c>
    </row>
    <row r="332" ht="12.0" customHeight="1">
      <c r="A332" s="22"/>
      <c r="B332" s="27" t="str">
        <f t="shared" si="53"/>
        <v>#REF!</v>
      </c>
      <c r="C332" s="27"/>
      <c r="D332" s="27"/>
      <c r="E332" s="27"/>
      <c r="F332" s="27"/>
      <c r="G332" s="27" t="s">
        <v>3512</v>
      </c>
      <c r="H332" s="27" t="str">
        <f t="shared" si="54"/>
        <v>#REF!</v>
      </c>
      <c r="I332" s="27" t="s">
        <v>3515</v>
      </c>
      <c r="J332" s="27" t="s">
        <v>3516</v>
      </c>
      <c r="K332" s="79" t="str">
        <f t="shared" si="55"/>
        <v>#REF!</v>
      </c>
      <c r="L332" s="27" t="s">
        <v>3515</v>
      </c>
      <c r="M332" s="27" t="str">
        <f t="shared" si="56"/>
        <v>};</v>
      </c>
      <c r="P332" s="78"/>
      <c r="Q332" s="6">
        <v>0.0</v>
      </c>
    </row>
    <row r="333" ht="12.0" customHeight="1">
      <c r="A333" s="22"/>
      <c r="B333" s="27" t="str">
        <f t="shared" si="53"/>
        <v>#REF!</v>
      </c>
      <c r="C333" s="27"/>
      <c r="D333" s="27"/>
      <c r="E333" s="27"/>
      <c r="F333" s="27"/>
      <c r="G333" s="27" t="s">
        <v>3512</v>
      </c>
      <c r="H333" s="27" t="str">
        <f t="shared" si="54"/>
        <v>#REF!</v>
      </c>
      <c r="I333" s="27" t="s">
        <v>3515</v>
      </c>
      <c r="J333" s="27" t="s">
        <v>3516</v>
      </c>
      <c r="K333" s="79" t="str">
        <f t="shared" si="55"/>
        <v>#REF!</v>
      </c>
      <c r="L333" s="27" t="s">
        <v>3515</v>
      </c>
      <c r="M333" s="27" t="str">
        <f t="shared" si="56"/>
        <v>};</v>
      </c>
      <c r="P333" s="78"/>
      <c r="Q333" s="6">
        <v>0.0</v>
      </c>
    </row>
    <row r="334" ht="12.0" customHeight="1">
      <c r="A334" s="22"/>
      <c r="B334" s="27" t="str">
        <f t="shared" si="53"/>
        <v>#REF!</v>
      </c>
      <c r="C334" s="27"/>
      <c r="D334" s="27"/>
      <c r="E334" s="27"/>
      <c r="F334" s="27"/>
      <c r="G334" s="27" t="s">
        <v>3512</v>
      </c>
      <c r="H334" s="27" t="str">
        <f t="shared" si="54"/>
        <v>#REF!</v>
      </c>
      <c r="I334" s="27" t="s">
        <v>3515</v>
      </c>
      <c r="J334" s="27" t="s">
        <v>3516</v>
      </c>
      <c r="K334" s="79" t="str">
        <f t="shared" si="55"/>
        <v>#REF!</v>
      </c>
      <c r="L334" s="27" t="s">
        <v>3515</v>
      </c>
      <c r="M334" s="27" t="str">
        <f t="shared" si="56"/>
        <v>};</v>
      </c>
      <c r="P334" s="78"/>
      <c r="Q334" s="6">
        <v>0.0</v>
      </c>
    </row>
    <row r="335" ht="12.0" customHeight="1">
      <c r="A335" s="22"/>
      <c r="B335" s="27" t="str">
        <f t="shared" si="53"/>
        <v>#REF!</v>
      </c>
      <c r="C335" s="27"/>
      <c r="D335" s="27"/>
      <c r="E335" s="27"/>
      <c r="F335" s="27"/>
      <c r="G335" s="27" t="s">
        <v>3512</v>
      </c>
      <c r="H335" s="27" t="str">
        <f t="shared" si="54"/>
        <v>#REF!</v>
      </c>
      <c r="I335" s="27" t="s">
        <v>3515</v>
      </c>
      <c r="J335" s="27" t="s">
        <v>3516</v>
      </c>
      <c r="K335" s="79" t="str">
        <f t="shared" si="55"/>
        <v>#REF!</v>
      </c>
      <c r="L335" s="27" t="s">
        <v>3515</v>
      </c>
      <c r="M335" s="27" t="str">
        <f t="shared" si="56"/>
        <v>};</v>
      </c>
      <c r="P335" s="78"/>
      <c r="Q335" s="6">
        <v>0.0</v>
      </c>
    </row>
    <row r="336" ht="12.0" customHeight="1">
      <c r="A336" s="22"/>
      <c r="B336" s="27" t="str">
        <f t="shared" si="53"/>
        <v>#REF!</v>
      </c>
      <c r="C336" s="27"/>
      <c r="D336" s="27"/>
      <c r="E336" s="27"/>
      <c r="F336" s="27"/>
      <c r="G336" s="27" t="s">
        <v>3512</v>
      </c>
      <c r="H336" s="27" t="str">
        <f t="shared" si="54"/>
        <v>#REF!</v>
      </c>
      <c r="I336" s="27" t="s">
        <v>3515</v>
      </c>
      <c r="J336" s="27" t="s">
        <v>3516</v>
      </c>
      <c r="K336" s="79" t="str">
        <f t="shared" si="55"/>
        <v>#REF!</v>
      </c>
      <c r="L336" s="27" t="s">
        <v>3515</v>
      </c>
      <c r="M336" s="27" t="str">
        <f t="shared" si="56"/>
        <v>};</v>
      </c>
      <c r="P336" s="78"/>
      <c r="Q336" s="6">
        <v>0.0</v>
      </c>
    </row>
    <row r="337" ht="12.0" customHeight="1">
      <c r="A337" s="22"/>
      <c r="B337" s="27" t="str">
        <f t="shared" si="53"/>
        <v>#REF!</v>
      </c>
      <c r="C337" s="27"/>
      <c r="D337" s="27"/>
      <c r="E337" s="27"/>
      <c r="F337" s="27"/>
      <c r="G337" s="27" t="s">
        <v>3512</v>
      </c>
      <c r="H337" s="27" t="str">
        <f t="shared" si="54"/>
        <v>#REF!</v>
      </c>
      <c r="I337" s="27" t="s">
        <v>3515</v>
      </c>
      <c r="J337" s="27" t="s">
        <v>3516</v>
      </c>
      <c r="K337" s="79" t="str">
        <f t="shared" si="55"/>
        <v>#REF!</v>
      </c>
      <c r="L337" s="27" t="s">
        <v>3515</v>
      </c>
      <c r="M337" s="27" t="str">
        <f t="shared" si="56"/>
        <v>};</v>
      </c>
      <c r="P337" s="78"/>
      <c r="Q337" s="6">
        <v>0.0</v>
      </c>
    </row>
    <row r="338" ht="12.0" customHeight="1">
      <c r="A338" s="22"/>
      <c r="B338" s="27" t="str">
        <f t="shared" si="53"/>
        <v>#REF!</v>
      </c>
      <c r="C338" s="27"/>
      <c r="D338" s="27"/>
      <c r="E338" s="27"/>
      <c r="F338" s="27"/>
      <c r="G338" s="27" t="s">
        <v>3512</v>
      </c>
      <c r="H338" s="27" t="str">
        <f t="shared" si="54"/>
        <v>#REF!</v>
      </c>
      <c r="I338" s="27" t="s">
        <v>3515</v>
      </c>
      <c r="J338" s="27" t="s">
        <v>3516</v>
      </c>
      <c r="K338" s="79" t="str">
        <f t="shared" si="55"/>
        <v>#REF!</v>
      </c>
      <c r="L338" s="27" t="s">
        <v>3515</v>
      </c>
      <c r="M338" s="27" t="str">
        <f t="shared" si="56"/>
        <v>};</v>
      </c>
      <c r="P338" s="78"/>
      <c r="Q338" s="6">
        <v>0.0</v>
      </c>
    </row>
    <row r="339" ht="12.0" customHeight="1">
      <c r="A339" s="22"/>
      <c r="B339" s="27" t="str">
        <f t="shared" si="53"/>
        <v>#REF!</v>
      </c>
      <c r="C339" s="27"/>
      <c r="D339" s="27"/>
      <c r="E339" s="27"/>
      <c r="F339" s="27"/>
      <c r="G339" s="27" t="s">
        <v>3512</v>
      </c>
      <c r="H339" s="27" t="str">
        <f t="shared" si="54"/>
        <v>#REF!</v>
      </c>
      <c r="I339" s="27" t="s">
        <v>3515</v>
      </c>
      <c r="J339" s="27" t="s">
        <v>3516</v>
      </c>
      <c r="K339" s="79" t="str">
        <f t="shared" si="55"/>
        <v>#REF!</v>
      </c>
      <c r="L339" s="27" t="s">
        <v>3515</v>
      </c>
      <c r="M339" s="27" t="str">
        <f t="shared" si="56"/>
        <v>};</v>
      </c>
      <c r="P339" s="78"/>
      <c r="Q339" s="6">
        <v>0.0</v>
      </c>
    </row>
    <row r="340" ht="12.0" customHeight="1">
      <c r="A340" s="22"/>
      <c r="B340" s="27" t="str">
        <f t="shared" si="53"/>
        <v>#REF!</v>
      </c>
      <c r="C340" s="27"/>
      <c r="D340" s="27"/>
      <c r="E340" s="27"/>
      <c r="F340" s="27"/>
      <c r="G340" s="27" t="s">
        <v>3512</v>
      </c>
      <c r="H340" s="27" t="str">
        <f t="shared" si="54"/>
        <v>#REF!</v>
      </c>
      <c r="I340" s="27" t="s">
        <v>3515</v>
      </c>
      <c r="J340" s="27" t="s">
        <v>3516</v>
      </c>
      <c r="K340" s="79" t="str">
        <f t="shared" si="55"/>
        <v>#REF!</v>
      </c>
      <c r="L340" s="27" t="s">
        <v>3515</v>
      </c>
      <c r="M340" s="27" t="str">
        <f t="shared" si="56"/>
        <v>};</v>
      </c>
      <c r="P340" s="78"/>
      <c r="Q340" s="6">
        <v>0.0</v>
      </c>
    </row>
    <row r="341" ht="12.0" customHeight="1">
      <c r="A341" s="22"/>
      <c r="B341" s="27" t="str">
        <f t="shared" si="53"/>
        <v>#REF!</v>
      </c>
      <c r="C341" s="27"/>
      <c r="D341" s="27"/>
      <c r="E341" s="27"/>
      <c r="F341" s="27"/>
      <c r="G341" s="27" t="s">
        <v>3512</v>
      </c>
      <c r="H341" s="27" t="str">
        <f t="shared" si="54"/>
        <v>#REF!</v>
      </c>
      <c r="I341" s="27" t="s">
        <v>3515</v>
      </c>
      <c r="J341" s="27" t="s">
        <v>3516</v>
      </c>
      <c r="K341" s="79" t="str">
        <f t="shared" si="55"/>
        <v>#REF!</v>
      </c>
      <c r="L341" s="27" t="s">
        <v>3515</v>
      </c>
      <c r="M341" s="27" t="str">
        <f t="shared" si="56"/>
        <v>};</v>
      </c>
      <c r="P341" s="78"/>
      <c r="Q341" s="6">
        <v>0.0</v>
      </c>
    </row>
    <row r="342" ht="12.0" customHeight="1">
      <c r="A342" s="22"/>
      <c r="B342" s="27" t="str">
        <f t="shared" si="53"/>
        <v>#REF!</v>
      </c>
      <c r="C342" s="27"/>
      <c r="D342" s="27"/>
      <c r="E342" s="27"/>
      <c r="F342" s="27"/>
      <c r="G342" s="27" t="s">
        <v>3512</v>
      </c>
      <c r="H342" s="27" t="str">
        <f t="shared" si="54"/>
        <v>#REF!</v>
      </c>
      <c r="I342" s="27" t="s">
        <v>3515</v>
      </c>
      <c r="J342" s="27" t="s">
        <v>3516</v>
      </c>
      <c r="K342" s="79" t="str">
        <f t="shared" si="55"/>
        <v>#REF!</v>
      </c>
      <c r="L342" s="27" t="s">
        <v>3515</v>
      </c>
      <c r="M342" s="27" t="str">
        <f t="shared" si="56"/>
        <v>};</v>
      </c>
      <c r="P342" s="78"/>
      <c r="Q342" s="6">
        <v>0.0</v>
      </c>
    </row>
    <row r="343" ht="12.0" customHeight="1">
      <c r="A343" s="22"/>
      <c r="B343" s="27" t="str">
        <f t="shared" si="53"/>
        <v>#REF!</v>
      </c>
      <c r="C343" s="27"/>
      <c r="D343" s="27"/>
      <c r="E343" s="27"/>
      <c r="F343" s="27"/>
      <c r="G343" s="27" t="s">
        <v>3512</v>
      </c>
      <c r="H343" s="27" t="str">
        <f t="shared" si="54"/>
        <v>#REF!</v>
      </c>
      <c r="I343" s="27" t="s">
        <v>3515</v>
      </c>
      <c r="J343" s="27" t="s">
        <v>3516</v>
      </c>
      <c r="K343" s="79" t="str">
        <f t="shared" si="55"/>
        <v>#REF!</v>
      </c>
      <c r="L343" s="27" t="s">
        <v>3515</v>
      </c>
      <c r="M343" s="27" t="str">
        <f t="shared" si="56"/>
        <v>};</v>
      </c>
      <c r="P343" s="78"/>
      <c r="Q343" s="6">
        <v>0.0</v>
      </c>
    </row>
    <row r="344" ht="12.0" customHeight="1">
      <c r="A344" s="22"/>
      <c r="B344" s="27" t="str">
        <f t="shared" si="53"/>
        <v>#REF!</v>
      </c>
      <c r="C344" s="27"/>
      <c r="D344" s="27"/>
      <c r="E344" s="27"/>
      <c r="F344" s="27"/>
      <c r="G344" s="27" t="s">
        <v>3512</v>
      </c>
      <c r="H344" s="27" t="str">
        <f t="shared" si="54"/>
        <v>#REF!</v>
      </c>
      <c r="I344" s="27" t="s">
        <v>3515</v>
      </c>
      <c r="J344" s="27" t="s">
        <v>3516</v>
      </c>
      <c r="K344" s="79" t="str">
        <f t="shared" si="55"/>
        <v>#REF!</v>
      </c>
      <c r="L344" s="27" t="s">
        <v>3515</v>
      </c>
      <c r="M344" s="27" t="str">
        <f t="shared" si="56"/>
        <v>};</v>
      </c>
      <c r="P344" s="78"/>
      <c r="Q344" s="6">
        <v>0.0</v>
      </c>
    </row>
    <row r="345" ht="12.0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79"/>
      <c r="L345" s="27"/>
      <c r="M345" s="27"/>
      <c r="N345" s="27"/>
      <c r="O345" s="27"/>
      <c r="P345" s="90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2.0" customHeight="1">
      <c r="A346" s="27"/>
      <c r="B346" s="22" t="s">
        <v>174</v>
      </c>
      <c r="C346" s="27"/>
      <c r="D346" s="27"/>
      <c r="E346" s="27"/>
      <c r="F346" s="27"/>
      <c r="G346" s="27"/>
      <c r="H346" s="27"/>
      <c r="I346" s="27"/>
      <c r="J346" s="27"/>
      <c r="K346" s="79"/>
      <c r="L346" s="27"/>
      <c r="M346" s="27"/>
      <c r="N346" s="27"/>
      <c r="O346" s="27"/>
      <c r="P346" s="90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2.0" customHeight="1">
      <c r="A347" s="27"/>
      <c r="B347" s="22" t="s">
        <v>555</v>
      </c>
      <c r="C347" s="27"/>
      <c r="D347" s="27"/>
      <c r="E347" s="27"/>
      <c r="F347" s="27"/>
      <c r="G347" s="27"/>
      <c r="H347" s="27"/>
      <c r="I347" s="27"/>
      <c r="J347" s="27"/>
      <c r="K347" s="79"/>
      <c r="L347" s="27"/>
      <c r="M347" s="27"/>
      <c r="N347" s="27"/>
      <c r="O347" s="27"/>
      <c r="P347" s="90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2.0" customHeight="1">
      <c r="A348" s="27"/>
      <c r="B348" s="22" t="s">
        <v>174</v>
      </c>
      <c r="C348" s="27"/>
      <c r="D348" s="27"/>
      <c r="E348" s="27"/>
      <c r="F348" s="27"/>
      <c r="G348" s="27"/>
      <c r="H348" s="27"/>
      <c r="I348" s="27"/>
      <c r="J348" s="27"/>
      <c r="K348" s="79"/>
      <c r="L348" s="27"/>
      <c r="M348" s="27"/>
      <c r="N348" s="27"/>
      <c r="O348" s="27"/>
      <c r="P348" s="90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2.0" customHeight="1">
      <c r="A349" s="22"/>
      <c r="B349" s="27" t="str">
        <f t="shared" ref="B349:B371" si="57">'Exile INPUT'!C329</f>
        <v>#REF!</v>
      </c>
      <c r="C349" s="27"/>
      <c r="D349" s="27"/>
      <c r="E349" s="27"/>
      <c r="F349" s="27"/>
      <c r="G349" s="27" t="s">
        <v>3512</v>
      </c>
      <c r="H349" s="27" t="str">
        <f t="shared" ref="H349:H371" si="58">'Exile INPUT'!H329</f>
        <v>#REF!</v>
      </c>
      <c r="I349" s="27" t="s">
        <v>3515</v>
      </c>
      <c r="J349" s="27" t="s">
        <v>3516</v>
      </c>
      <c r="K349" s="79" t="str">
        <f t="shared" ref="K349:K371" si="59">'Exile INPUT'!J329</f>
        <v>#REF!</v>
      </c>
      <c r="L349" s="27" t="s">
        <v>3515</v>
      </c>
      <c r="M349" s="27" t="str">
        <f t="shared" ref="M349:M371" si="60">IF(Q349 = 0, "};",CONCATENATE("sellPrice = ",Q349,"; };"))</f>
        <v>};</v>
      </c>
      <c r="P349" s="78"/>
      <c r="Q349" s="6">
        <v>0.0</v>
      </c>
    </row>
    <row r="350" ht="12.0" customHeight="1">
      <c r="A350" s="22"/>
      <c r="B350" s="27" t="str">
        <f t="shared" si="57"/>
        <v>#REF!</v>
      </c>
      <c r="C350" s="27"/>
      <c r="D350" s="27"/>
      <c r="E350" s="27"/>
      <c r="F350" s="27"/>
      <c r="G350" s="27" t="s">
        <v>3512</v>
      </c>
      <c r="H350" s="27" t="str">
        <f t="shared" si="58"/>
        <v>#REF!</v>
      </c>
      <c r="I350" s="27" t="s">
        <v>3515</v>
      </c>
      <c r="J350" s="27" t="s">
        <v>3516</v>
      </c>
      <c r="K350" s="79" t="str">
        <f t="shared" si="59"/>
        <v>#REF!</v>
      </c>
      <c r="L350" s="27" t="s">
        <v>3515</v>
      </c>
      <c r="M350" s="27" t="str">
        <f t="shared" si="60"/>
        <v>};</v>
      </c>
      <c r="P350" s="78"/>
      <c r="Q350" s="6">
        <v>0.0</v>
      </c>
    </row>
    <row r="351" ht="12.0" customHeight="1">
      <c r="A351" s="22"/>
      <c r="B351" s="27" t="str">
        <f t="shared" si="57"/>
        <v>#REF!</v>
      </c>
      <c r="C351" s="27"/>
      <c r="D351" s="27"/>
      <c r="E351" s="27"/>
      <c r="F351" s="27"/>
      <c r="G351" s="27" t="s">
        <v>3512</v>
      </c>
      <c r="H351" s="27" t="str">
        <f t="shared" si="58"/>
        <v>#REF!</v>
      </c>
      <c r="I351" s="27" t="s">
        <v>3515</v>
      </c>
      <c r="J351" s="27" t="s">
        <v>3516</v>
      </c>
      <c r="K351" s="79" t="str">
        <f t="shared" si="59"/>
        <v>#REF!</v>
      </c>
      <c r="L351" s="27" t="s">
        <v>3515</v>
      </c>
      <c r="M351" s="27" t="str">
        <f t="shared" si="60"/>
        <v>};</v>
      </c>
      <c r="P351" s="78"/>
      <c r="Q351" s="6">
        <v>0.0</v>
      </c>
    </row>
    <row r="352" ht="12.0" customHeight="1">
      <c r="A352" s="22"/>
      <c r="B352" s="27" t="str">
        <f t="shared" si="57"/>
        <v>#REF!</v>
      </c>
      <c r="C352" s="27"/>
      <c r="D352" s="27"/>
      <c r="E352" s="27"/>
      <c r="F352" s="27"/>
      <c r="G352" s="27" t="s">
        <v>3512</v>
      </c>
      <c r="H352" s="27" t="str">
        <f t="shared" si="58"/>
        <v>#REF!</v>
      </c>
      <c r="I352" s="27" t="s">
        <v>3515</v>
      </c>
      <c r="J352" s="27" t="s">
        <v>3516</v>
      </c>
      <c r="K352" s="79" t="str">
        <f t="shared" si="59"/>
        <v>#REF!</v>
      </c>
      <c r="L352" s="27" t="s">
        <v>3515</v>
      </c>
      <c r="M352" s="27" t="str">
        <f t="shared" si="60"/>
        <v>};</v>
      </c>
      <c r="P352" s="78"/>
      <c r="Q352" s="6">
        <v>0.0</v>
      </c>
    </row>
    <row r="353" ht="12.0" customHeight="1">
      <c r="A353" s="22"/>
      <c r="B353" s="27" t="str">
        <f t="shared" si="57"/>
        <v>#REF!</v>
      </c>
      <c r="C353" s="27"/>
      <c r="D353" s="27"/>
      <c r="E353" s="27"/>
      <c r="F353" s="27"/>
      <c r="G353" s="27" t="s">
        <v>3512</v>
      </c>
      <c r="H353" s="27" t="str">
        <f t="shared" si="58"/>
        <v>#REF!</v>
      </c>
      <c r="I353" s="27" t="s">
        <v>3515</v>
      </c>
      <c r="J353" s="27" t="s">
        <v>3516</v>
      </c>
      <c r="K353" s="79" t="str">
        <f t="shared" si="59"/>
        <v>#REF!</v>
      </c>
      <c r="L353" s="27" t="s">
        <v>3515</v>
      </c>
      <c r="M353" s="27" t="str">
        <f t="shared" si="60"/>
        <v>};</v>
      </c>
      <c r="P353" s="78"/>
      <c r="Q353" s="6">
        <v>0.0</v>
      </c>
    </row>
    <row r="354" ht="12.0" customHeight="1">
      <c r="A354" s="22"/>
      <c r="B354" s="27" t="str">
        <f t="shared" si="57"/>
        <v>#REF!</v>
      </c>
      <c r="C354" s="27"/>
      <c r="D354" s="27"/>
      <c r="E354" s="27"/>
      <c r="F354" s="27"/>
      <c r="G354" s="27" t="s">
        <v>3512</v>
      </c>
      <c r="H354" s="27" t="str">
        <f t="shared" si="58"/>
        <v>#REF!</v>
      </c>
      <c r="I354" s="27" t="s">
        <v>3515</v>
      </c>
      <c r="J354" s="27" t="s">
        <v>3516</v>
      </c>
      <c r="K354" s="79" t="str">
        <f t="shared" si="59"/>
        <v>#REF!</v>
      </c>
      <c r="L354" s="27" t="s">
        <v>3515</v>
      </c>
      <c r="M354" s="27" t="str">
        <f t="shared" si="60"/>
        <v>};</v>
      </c>
      <c r="P354" s="78"/>
      <c r="Q354" s="6">
        <v>0.0</v>
      </c>
    </row>
    <row r="355" ht="12.0" customHeight="1">
      <c r="A355" s="22"/>
      <c r="B355" s="27" t="str">
        <f t="shared" si="57"/>
        <v>#REF!</v>
      </c>
      <c r="C355" s="27"/>
      <c r="D355" s="27"/>
      <c r="E355" s="27"/>
      <c r="F355" s="27"/>
      <c r="G355" s="27" t="s">
        <v>3512</v>
      </c>
      <c r="H355" s="27" t="str">
        <f t="shared" si="58"/>
        <v>#REF!</v>
      </c>
      <c r="I355" s="27" t="s">
        <v>3515</v>
      </c>
      <c r="J355" s="27" t="s">
        <v>3516</v>
      </c>
      <c r="K355" s="79" t="str">
        <f t="shared" si="59"/>
        <v>#REF!</v>
      </c>
      <c r="L355" s="27" t="s">
        <v>3515</v>
      </c>
      <c r="M355" s="27" t="str">
        <f t="shared" si="60"/>
        <v>};</v>
      </c>
      <c r="P355" s="78"/>
      <c r="Q355" s="6">
        <v>0.0</v>
      </c>
    </row>
    <row r="356" ht="12.0" customHeight="1">
      <c r="A356" s="22"/>
      <c r="B356" s="27" t="str">
        <f t="shared" si="57"/>
        <v>#REF!</v>
      </c>
      <c r="C356" s="27"/>
      <c r="D356" s="27"/>
      <c r="E356" s="27"/>
      <c r="F356" s="27"/>
      <c r="G356" s="27" t="s">
        <v>3512</v>
      </c>
      <c r="H356" s="27" t="str">
        <f t="shared" si="58"/>
        <v>#REF!</v>
      </c>
      <c r="I356" s="27" t="s">
        <v>3515</v>
      </c>
      <c r="J356" s="27" t="s">
        <v>3516</v>
      </c>
      <c r="K356" s="79" t="str">
        <f t="shared" si="59"/>
        <v>#REF!</v>
      </c>
      <c r="L356" s="27" t="s">
        <v>3515</v>
      </c>
      <c r="M356" s="27" t="str">
        <f t="shared" si="60"/>
        <v>};</v>
      </c>
      <c r="P356" s="78"/>
      <c r="Q356" s="6">
        <v>0.0</v>
      </c>
    </row>
    <row r="357" ht="12.0" customHeight="1">
      <c r="A357" s="22"/>
      <c r="B357" s="27" t="str">
        <f t="shared" si="57"/>
        <v>#REF!</v>
      </c>
      <c r="C357" s="27"/>
      <c r="D357" s="27"/>
      <c r="E357" s="27"/>
      <c r="F357" s="27"/>
      <c r="G357" s="27" t="s">
        <v>3512</v>
      </c>
      <c r="H357" s="27" t="str">
        <f t="shared" si="58"/>
        <v>#REF!</v>
      </c>
      <c r="I357" s="27" t="s">
        <v>3515</v>
      </c>
      <c r="J357" s="27" t="s">
        <v>3516</v>
      </c>
      <c r="K357" s="79" t="str">
        <f t="shared" si="59"/>
        <v>#REF!</v>
      </c>
      <c r="L357" s="27" t="s">
        <v>3515</v>
      </c>
      <c r="M357" s="27" t="str">
        <f t="shared" si="60"/>
        <v>};</v>
      </c>
      <c r="P357" s="78"/>
      <c r="Q357" s="6">
        <v>0.0</v>
      </c>
    </row>
    <row r="358" ht="12.0" customHeight="1">
      <c r="A358" s="22"/>
      <c r="B358" s="27" t="str">
        <f t="shared" si="57"/>
        <v>#REF!</v>
      </c>
      <c r="C358" s="27"/>
      <c r="D358" s="27"/>
      <c r="E358" s="27"/>
      <c r="F358" s="27"/>
      <c r="G358" s="27" t="s">
        <v>3512</v>
      </c>
      <c r="H358" s="27" t="str">
        <f t="shared" si="58"/>
        <v>#REF!</v>
      </c>
      <c r="I358" s="27" t="s">
        <v>3515</v>
      </c>
      <c r="J358" s="27" t="s">
        <v>3516</v>
      </c>
      <c r="K358" s="79" t="str">
        <f t="shared" si="59"/>
        <v>#REF!</v>
      </c>
      <c r="L358" s="27" t="s">
        <v>3515</v>
      </c>
      <c r="M358" s="27" t="str">
        <f t="shared" si="60"/>
        <v>};</v>
      </c>
      <c r="P358" s="78"/>
      <c r="Q358" s="6">
        <v>0.0</v>
      </c>
    </row>
    <row r="359" ht="12.0" customHeight="1">
      <c r="A359" s="22"/>
      <c r="B359" s="27" t="str">
        <f t="shared" si="57"/>
        <v>#REF!</v>
      </c>
      <c r="C359" s="27"/>
      <c r="D359" s="27"/>
      <c r="E359" s="27"/>
      <c r="F359" s="27"/>
      <c r="G359" s="27" t="s">
        <v>3512</v>
      </c>
      <c r="H359" s="27" t="str">
        <f t="shared" si="58"/>
        <v>#REF!</v>
      </c>
      <c r="I359" s="27" t="s">
        <v>3515</v>
      </c>
      <c r="J359" s="27" t="s">
        <v>3516</v>
      </c>
      <c r="K359" s="79" t="str">
        <f t="shared" si="59"/>
        <v>#REF!</v>
      </c>
      <c r="L359" s="27" t="s">
        <v>3515</v>
      </c>
      <c r="M359" s="27" t="str">
        <f t="shared" si="60"/>
        <v>};</v>
      </c>
      <c r="P359" s="78"/>
      <c r="Q359" s="6">
        <v>0.0</v>
      </c>
    </row>
    <row r="360" ht="12.0" customHeight="1">
      <c r="A360" s="22"/>
      <c r="B360" s="27" t="str">
        <f t="shared" si="57"/>
        <v>#REF!</v>
      </c>
      <c r="C360" s="27"/>
      <c r="D360" s="27"/>
      <c r="E360" s="27"/>
      <c r="F360" s="27"/>
      <c r="G360" s="27" t="s">
        <v>3512</v>
      </c>
      <c r="H360" s="27" t="str">
        <f t="shared" si="58"/>
        <v>#REF!</v>
      </c>
      <c r="I360" s="27" t="s">
        <v>3515</v>
      </c>
      <c r="J360" s="27" t="s">
        <v>3516</v>
      </c>
      <c r="K360" s="79" t="str">
        <f t="shared" si="59"/>
        <v>#REF!</v>
      </c>
      <c r="L360" s="27" t="s">
        <v>3515</v>
      </c>
      <c r="M360" s="27" t="str">
        <f t="shared" si="60"/>
        <v>};</v>
      </c>
      <c r="P360" s="78"/>
      <c r="Q360" s="6">
        <v>0.0</v>
      </c>
    </row>
    <row r="361" ht="12.0" customHeight="1">
      <c r="A361" s="22"/>
      <c r="B361" s="27" t="str">
        <f t="shared" si="57"/>
        <v>#REF!</v>
      </c>
      <c r="C361" s="27"/>
      <c r="D361" s="27"/>
      <c r="E361" s="27"/>
      <c r="F361" s="27"/>
      <c r="G361" s="27" t="s">
        <v>3512</v>
      </c>
      <c r="H361" s="27" t="str">
        <f t="shared" si="58"/>
        <v>#REF!</v>
      </c>
      <c r="I361" s="27" t="s">
        <v>3515</v>
      </c>
      <c r="J361" s="27" t="s">
        <v>3516</v>
      </c>
      <c r="K361" s="79" t="str">
        <f t="shared" si="59"/>
        <v>#REF!</v>
      </c>
      <c r="L361" s="27" t="s">
        <v>3515</v>
      </c>
      <c r="M361" s="27" t="str">
        <f t="shared" si="60"/>
        <v>};</v>
      </c>
      <c r="P361" s="78"/>
      <c r="Q361" s="6">
        <v>0.0</v>
      </c>
    </row>
    <row r="362" ht="12.0" customHeight="1">
      <c r="A362" s="22"/>
      <c r="B362" s="27" t="str">
        <f t="shared" si="57"/>
        <v>#REF!</v>
      </c>
      <c r="C362" s="27"/>
      <c r="D362" s="27"/>
      <c r="E362" s="27"/>
      <c r="F362" s="27"/>
      <c r="G362" s="27" t="s">
        <v>3512</v>
      </c>
      <c r="H362" s="27" t="str">
        <f t="shared" si="58"/>
        <v>#REF!</v>
      </c>
      <c r="I362" s="27" t="s">
        <v>3515</v>
      </c>
      <c r="J362" s="27" t="s">
        <v>3516</v>
      </c>
      <c r="K362" s="79" t="str">
        <f t="shared" si="59"/>
        <v>#REF!</v>
      </c>
      <c r="L362" s="27" t="s">
        <v>3515</v>
      </c>
      <c r="M362" s="27" t="str">
        <f t="shared" si="60"/>
        <v>};</v>
      </c>
      <c r="P362" s="78"/>
      <c r="Q362" s="6">
        <v>0.0</v>
      </c>
    </row>
    <row r="363" ht="12.0" customHeight="1">
      <c r="A363" s="22"/>
      <c r="B363" s="27" t="str">
        <f t="shared" si="57"/>
        <v>#REF!</v>
      </c>
      <c r="C363" s="27"/>
      <c r="D363" s="27"/>
      <c r="E363" s="27"/>
      <c r="F363" s="27"/>
      <c r="G363" s="27" t="s">
        <v>3512</v>
      </c>
      <c r="H363" s="27" t="str">
        <f t="shared" si="58"/>
        <v>#REF!</v>
      </c>
      <c r="I363" s="27" t="s">
        <v>3515</v>
      </c>
      <c r="J363" s="27" t="s">
        <v>3516</v>
      </c>
      <c r="K363" s="79" t="str">
        <f t="shared" si="59"/>
        <v>#REF!</v>
      </c>
      <c r="L363" s="27" t="s">
        <v>3515</v>
      </c>
      <c r="M363" s="27" t="str">
        <f t="shared" si="60"/>
        <v>};</v>
      </c>
      <c r="P363" s="78"/>
      <c r="Q363" s="6">
        <v>0.0</v>
      </c>
    </row>
    <row r="364" ht="12.0" customHeight="1">
      <c r="A364" s="22"/>
      <c r="B364" s="27" t="str">
        <f t="shared" si="57"/>
        <v>#REF!</v>
      </c>
      <c r="C364" s="27"/>
      <c r="D364" s="27"/>
      <c r="E364" s="27"/>
      <c r="F364" s="27"/>
      <c r="G364" s="27" t="s">
        <v>3512</v>
      </c>
      <c r="H364" s="27" t="str">
        <f t="shared" si="58"/>
        <v>#REF!</v>
      </c>
      <c r="I364" s="27" t="s">
        <v>3515</v>
      </c>
      <c r="J364" s="27" t="s">
        <v>3516</v>
      </c>
      <c r="K364" s="79" t="str">
        <f t="shared" si="59"/>
        <v>#REF!</v>
      </c>
      <c r="L364" s="27" t="s">
        <v>3515</v>
      </c>
      <c r="M364" s="27" t="str">
        <f t="shared" si="60"/>
        <v>};</v>
      </c>
      <c r="P364" s="78"/>
      <c r="Q364" s="6">
        <v>0.0</v>
      </c>
    </row>
    <row r="365" ht="12.0" customHeight="1">
      <c r="A365" s="22"/>
      <c r="B365" s="27" t="str">
        <f t="shared" si="57"/>
        <v>#REF!</v>
      </c>
      <c r="C365" s="27"/>
      <c r="D365" s="27"/>
      <c r="E365" s="27"/>
      <c r="F365" s="27"/>
      <c r="G365" s="27" t="s">
        <v>3512</v>
      </c>
      <c r="H365" s="27" t="str">
        <f t="shared" si="58"/>
        <v>#REF!</v>
      </c>
      <c r="I365" s="27" t="s">
        <v>3515</v>
      </c>
      <c r="J365" s="27" t="s">
        <v>3516</v>
      </c>
      <c r="K365" s="79" t="str">
        <f t="shared" si="59"/>
        <v>#REF!</v>
      </c>
      <c r="L365" s="27" t="s">
        <v>3515</v>
      </c>
      <c r="M365" s="27" t="str">
        <f t="shared" si="60"/>
        <v>};</v>
      </c>
      <c r="P365" s="78"/>
      <c r="Q365" s="6">
        <v>0.0</v>
      </c>
    </row>
    <row r="366" ht="12.0" customHeight="1">
      <c r="A366" s="22"/>
      <c r="B366" s="27" t="str">
        <f t="shared" si="57"/>
        <v>#REF!</v>
      </c>
      <c r="C366" s="27"/>
      <c r="D366" s="27"/>
      <c r="E366" s="27"/>
      <c r="F366" s="27"/>
      <c r="G366" s="27" t="s">
        <v>3512</v>
      </c>
      <c r="H366" s="27" t="str">
        <f t="shared" si="58"/>
        <v>#REF!</v>
      </c>
      <c r="I366" s="27" t="s">
        <v>3515</v>
      </c>
      <c r="J366" s="27" t="s">
        <v>3516</v>
      </c>
      <c r="K366" s="79" t="str">
        <f t="shared" si="59"/>
        <v>#REF!</v>
      </c>
      <c r="L366" s="27" t="s">
        <v>3515</v>
      </c>
      <c r="M366" s="27" t="str">
        <f t="shared" si="60"/>
        <v>};</v>
      </c>
      <c r="P366" s="78"/>
      <c r="Q366" s="6">
        <v>0.0</v>
      </c>
    </row>
    <row r="367" ht="12.0" customHeight="1">
      <c r="A367" s="22"/>
      <c r="B367" s="27" t="str">
        <f t="shared" si="57"/>
        <v>#REF!</v>
      </c>
      <c r="C367" s="27"/>
      <c r="D367" s="27"/>
      <c r="E367" s="27"/>
      <c r="F367" s="27"/>
      <c r="G367" s="27" t="s">
        <v>3512</v>
      </c>
      <c r="H367" s="27" t="str">
        <f t="shared" si="58"/>
        <v>#REF!</v>
      </c>
      <c r="I367" s="27" t="s">
        <v>3515</v>
      </c>
      <c r="J367" s="27" t="s">
        <v>3516</v>
      </c>
      <c r="K367" s="79" t="str">
        <f t="shared" si="59"/>
        <v>#REF!</v>
      </c>
      <c r="L367" s="27" t="s">
        <v>3515</v>
      </c>
      <c r="M367" s="27" t="str">
        <f t="shared" si="60"/>
        <v>};</v>
      </c>
      <c r="P367" s="78"/>
      <c r="Q367" s="6">
        <v>0.0</v>
      </c>
    </row>
    <row r="368" ht="12.0" customHeight="1">
      <c r="A368" s="22"/>
      <c r="B368" s="27" t="str">
        <f t="shared" si="57"/>
        <v>#REF!</v>
      </c>
      <c r="C368" s="27"/>
      <c r="D368" s="27"/>
      <c r="E368" s="27"/>
      <c r="F368" s="27"/>
      <c r="G368" s="27" t="s">
        <v>3512</v>
      </c>
      <c r="H368" s="27" t="str">
        <f t="shared" si="58"/>
        <v>#REF!</v>
      </c>
      <c r="I368" s="27" t="s">
        <v>3515</v>
      </c>
      <c r="J368" s="27" t="s">
        <v>3516</v>
      </c>
      <c r="K368" s="79" t="str">
        <f t="shared" si="59"/>
        <v>#REF!</v>
      </c>
      <c r="L368" s="27" t="s">
        <v>3515</v>
      </c>
      <c r="M368" s="27" t="str">
        <f t="shared" si="60"/>
        <v>};</v>
      </c>
      <c r="P368" s="78"/>
      <c r="Q368" s="6">
        <v>0.0</v>
      </c>
    </row>
    <row r="369" ht="12.0" customHeight="1">
      <c r="A369" s="22"/>
      <c r="B369" s="27" t="str">
        <f t="shared" si="57"/>
        <v>#REF!</v>
      </c>
      <c r="C369" s="27"/>
      <c r="D369" s="27"/>
      <c r="E369" s="27"/>
      <c r="F369" s="27"/>
      <c r="G369" s="27" t="s">
        <v>3512</v>
      </c>
      <c r="H369" s="27" t="str">
        <f t="shared" si="58"/>
        <v>#REF!</v>
      </c>
      <c r="I369" s="27" t="s">
        <v>3515</v>
      </c>
      <c r="J369" s="27" t="s">
        <v>3516</v>
      </c>
      <c r="K369" s="79" t="str">
        <f t="shared" si="59"/>
        <v>#REF!</v>
      </c>
      <c r="L369" s="27" t="s">
        <v>3515</v>
      </c>
      <c r="M369" s="27" t="str">
        <f t="shared" si="60"/>
        <v>};</v>
      </c>
      <c r="P369" s="78"/>
      <c r="Q369" s="6">
        <v>0.0</v>
      </c>
    </row>
    <row r="370" ht="12.0" customHeight="1">
      <c r="A370" s="22"/>
      <c r="B370" s="27" t="str">
        <f t="shared" si="57"/>
        <v>#REF!</v>
      </c>
      <c r="C370" s="27"/>
      <c r="D370" s="27"/>
      <c r="E370" s="27"/>
      <c r="F370" s="27"/>
      <c r="G370" s="27" t="s">
        <v>3512</v>
      </c>
      <c r="H370" s="27" t="str">
        <f t="shared" si="58"/>
        <v>#REF!</v>
      </c>
      <c r="I370" s="27" t="s">
        <v>3515</v>
      </c>
      <c r="J370" s="27" t="s">
        <v>3516</v>
      </c>
      <c r="K370" s="79" t="str">
        <f t="shared" si="59"/>
        <v>#REF!</v>
      </c>
      <c r="L370" s="27" t="s">
        <v>3515</v>
      </c>
      <c r="M370" s="27" t="str">
        <f t="shared" si="60"/>
        <v>};</v>
      </c>
      <c r="P370" s="78"/>
      <c r="Q370" s="6">
        <v>0.0</v>
      </c>
    </row>
    <row r="371" ht="12.0" customHeight="1">
      <c r="A371" s="22"/>
      <c r="B371" s="27" t="str">
        <f t="shared" si="57"/>
        <v>#REF!</v>
      </c>
      <c r="C371" s="27"/>
      <c r="D371" s="27"/>
      <c r="E371" s="27"/>
      <c r="F371" s="27"/>
      <c r="G371" s="27" t="s">
        <v>3512</v>
      </c>
      <c r="H371" s="27" t="str">
        <f t="shared" si="58"/>
        <v>#REF!</v>
      </c>
      <c r="I371" s="27" t="s">
        <v>3515</v>
      </c>
      <c r="J371" s="27" t="s">
        <v>3516</v>
      </c>
      <c r="K371" s="79" t="str">
        <f t="shared" si="59"/>
        <v>#REF!</v>
      </c>
      <c r="L371" s="27" t="s">
        <v>3515</v>
      </c>
      <c r="M371" s="27" t="str">
        <f t="shared" si="60"/>
        <v>};</v>
      </c>
      <c r="P371" s="78"/>
      <c r="Q371" s="6">
        <v>0.0</v>
      </c>
    </row>
    <row r="372" ht="12.0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P372" s="78"/>
    </row>
    <row r="373" ht="12.0" customHeight="1">
      <c r="A373" s="22"/>
      <c r="B373" s="22" t="s">
        <v>174</v>
      </c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P373" s="78"/>
    </row>
    <row r="374" ht="12.0" customHeight="1">
      <c r="A374" s="22"/>
      <c r="B374" s="22" t="s">
        <v>595</v>
      </c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7"/>
      <c r="O374" s="27"/>
      <c r="P374" s="90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2.0" customHeight="1">
      <c r="A375" s="22"/>
      <c r="B375" s="22" t="s">
        <v>174</v>
      </c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P375" s="78"/>
    </row>
    <row r="376" ht="12.0" customHeight="1">
      <c r="A376" s="22"/>
      <c r="B376" s="27" t="str">
        <f t="shared" ref="B376:B414" si="61">'Exile INPUT'!C356</f>
        <v>#REF!</v>
      </c>
      <c r="C376" s="27"/>
      <c r="D376" s="27"/>
      <c r="E376" s="27"/>
      <c r="F376" s="27"/>
      <c r="G376" s="27" t="s">
        <v>3512</v>
      </c>
      <c r="H376" s="27" t="str">
        <f t="shared" ref="H376:H414" si="62">'Exile INPUT'!H356</f>
        <v>#REF!</v>
      </c>
      <c r="I376" s="27" t="s">
        <v>3515</v>
      </c>
      <c r="J376" s="27" t="s">
        <v>3516</v>
      </c>
      <c r="K376" s="79" t="str">
        <f t="shared" ref="K376:K414" si="63">'Exile INPUT'!J356</f>
        <v>#REF!</v>
      </c>
      <c r="L376" s="27" t="s">
        <v>3515</v>
      </c>
      <c r="M376" s="27" t="str">
        <f t="shared" ref="M376:M414" si="64">IF(Q376 = 0, "};",CONCATENATE("sellPrice = ",Q376,"; };"))</f>
        <v>};</v>
      </c>
      <c r="P376" s="78"/>
      <c r="Q376" s="6">
        <v>0.0</v>
      </c>
    </row>
    <row r="377" ht="12.0" customHeight="1">
      <c r="A377" s="22"/>
      <c r="B377" s="27" t="str">
        <f t="shared" si="61"/>
        <v>#REF!</v>
      </c>
      <c r="C377" s="27"/>
      <c r="D377" s="27"/>
      <c r="E377" s="27"/>
      <c r="F377" s="27"/>
      <c r="G377" s="27" t="s">
        <v>3512</v>
      </c>
      <c r="H377" s="27" t="str">
        <f t="shared" si="62"/>
        <v>#REF!</v>
      </c>
      <c r="I377" s="27" t="s">
        <v>3515</v>
      </c>
      <c r="J377" s="27" t="s">
        <v>3516</v>
      </c>
      <c r="K377" s="79" t="str">
        <f t="shared" si="63"/>
        <v>#REF!</v>
      </c>
      <c r="L377" s="27" t="s">
        <v>3515</v>
      </c>
      <c r="M377" s="27" t="str">
        <f t="shared" si="64"/>
        <v>};</v>
      </c>
      <c r="P377" s="78"/>
      <c r="Q377" s="6">
        <v>0.0</v>
      </c>
    </row>
    <row r="378" ht="12.0" customHeight="1">
      <c r="A378" s="22"/>
      <c r="B378" s="27" t="str">
        <f t="shared" si="61"/>
        <v>#REF!</v>
      </c>
      <c r="C378" s="27"/>
      <c r="D378" s="27"/>
      <c r="E378" s="27"/>
      <c r="F378" s="27"/>
      <c r="G378" s="27" t="s">
        <v>3512</v>
      </c>
      <c r="H378" s="27" t="str">
        <f t="shared" si="62"/>
        <v>#REF!</v>
      </c>
      <c r="I378" s="27" t="s">
        <v>3515</v>
      </c>
      <c r="J378" s="27" t="s">
        <v>3516</v>
      </c>
      <c r="K378" s="79" t="str">
        <f t="shared" si="63"/>
        <v>#REF!</v>
      </c>
      <c r="L378" s="27" t="s">
        <v>3515</v>
      </c>
      <c r="M378" s="27" t="str">
        <f t="shared" si="64"/>
        <v>};</v>
      </c>
      <c r="P378" s="78"/>
      <c r="Q378" s="6">
        <v>0.0</v>
      </c>
    </row>
    <row r="379" ht="12.0" customHeight="1">
      <c r="A379" s="22"/>
      <c r="B379" s="27" t="str">
        <f t="shared" si="61"/>
        <v>#REF!</v>
      </c>
      <c r="C379" s="27"/>
      <c r="D379" s="27"/>
      <c r="E379" s="27"/>
      <c r="F379" s="27"/>
      <c r="G379" s="27" t="s">
        <v>3512</v>
      </c>
      <c r="H379" s="27" t="str">
        <f t="shared" si="62"/>
        <v>#REF!</v>
      </c>
      <c r="I379" s="27" t="s">
        <v>3515</v>
      </c>
      <c r="J379" s="27" t="s">
        <v>3516</v>
      </c>
      <c r="K379" s="79" t="str">
        <f t="shared" si="63"/>
        <v>#REF!</v>
      </c>
      <c r="L379" s="27" t="s">
        <v>3515</v>
      </c>
      <c r="M379" s="27" t="str">
        <f t="shared" si="64"/>
        <v>};</v>
      </c>
      <c r="P379" s="78"/>
      <c r="Q379" s="6">
        <v>0.0</v>
      </c>
    </row>
    <row r="380" ht="12.0" customHeight="1">
      <c r="A380" s="22"/>
      <c r="B380" s="27" t="str">
        <f t="shared" si="61"/>
        <v>#REF!</v>
      </c>
      <c r="C380" s="27"/>
      <c r="D380" s="27"/>
      <c r="E380" s="27"/>
      <c r="F380" s="27"/>
      <c r="G380" s="27" t="s">
        <v>3512</v>
      </c>
      <c r="H380" s="27" t="str">
        <f t="shared" si="62"/>
        <v>#REF!</v>
      </c>
      <c r="I380" s="27" t="s">
        <v>3515</v>
      </c>
      <c r="J380" s="27" t="s">
        <v>3516</v>
      </c>
      <c r="K380" s="79" t="str">
        <f t="shared" si="63"/>
        <v>#REF!</v>
      </c>
      <c r="L380" s="27" t="s">
        <v>3515</v>
      </c>
      <c r="M380" s="27" t="str">
        <f t="shared" si="64"/>
        <v>};</v>
      </c>
      <c r="P380" s="78"/>
      <c r="Q380" s="6">
        <v>0.0</v>
      </c>
    </row>
    <row r="381" ht="12.0" customHeight="1">
      <c r="A381" s="22"/>
      <c r="B381" s="27" t="str">
        <f t="shared" si="61"/>
        <v>#REF!</v>
      </c>
      <c r="C381" s="27"/>
      <c r="D381" s="27"/>
      <c r="E381" s="27"/>
      <c r="F381" s="27"/>
      <c r="G381" s="27" t="s">
        <v>3512</v>
      </c>
      <c r="H381" s="27" t="str">
        <f t="shared" si="62"/>
        <v>#REF!</v>
      </c>
      <c r="I381" s="27" t="s">
        <v>3515</v>
      </c>
      <c r="J381" s="27" t="s">
        <v>3516</v>
      </c>
      <c r="K381" s="79" t="str">
        <f t="shared" si="63"/>
        <v>#REF!</v>
      </c>
      <c r="L381" s="27" t="s">
        <v>3515</v>
      </c>
      <c r="M381" s="27" t="str">
        <f t="shared" si="64"/>
        <v>};</v>
      </c>
      <c r="P381" s="78"/>
      <c r="Q381" s="6">
        <v>0.0</v>
      </c>
    </row>
    <row r="382" ht="12.0" customHeight="1">
      <c r="A382" s="22"/>
      <c r="B382" s="27" t="str">
        <f t="shared" si="61"/>
        <v>#REF!</v>
      </c>
      <c r="C382" s="27"/>
      <c r="D382" s="27"/>
      <c r="E382" s="27"/>
      <c r="F382" s="27"/>
      <c r="G382" s="27" t="s">
        <v>3512</v>
      </c>
      <c r="H382" s="27" t="str">
        <f t="shared" si="62"/>
        <v>#REF!</v>
      </c>
      <c r="I382" s="27" t="s">
        <v>3515</v>
      </c>
      <c r="J382" s="27" t="s">
        <v>3516</v>
      </c>
      <c r="K382" s="79" t="str">
        <f t="shared" si="63"/>
        <v>#REF!</v>
      </c>
      <c r="L382" s="27" t="s">
        <v>3515</v>
      </c>
      <c r="M382" s="27" t="str">
        <f t="shared" si="64"/>
        <v>};</v>
      </c>
      <c r="P382" s="78"/>
      <c r="Q382" s="6">
        <v>0.0</v>
      </c>
    </row>
    <row r="383" ht="12.0" customHeight="1">
      <c r="A383" s="22"/>
      <c r="B383" s="27" t="str">
        <f t="shared" si="61"/>
        <v>#REF!</v>
      </c>
      <c r="C383" s="27"/>
      <c r="D383" s="27"/>
      <c r="E383" s="27"/>
      <c r="F383" s="27"/>
      <c r="G383" s="27" t="s">
        <v>3512</v>
      </c>
      <c r="H383" s="27" t="str">
        <f t="shared" si="62"/>
        <v>#REF!</v>
      </c>
      <c r="I383" s="27" t="s">
        <v>3515</v>
      </c>
      <c r="J383" s="27" t="s">
        <v>3516</v>
      </c>
      <c r="K383" s="79" t="str">
        <f t="shared" si="63"/>
        <v>#REF!</v>
      </c>
      <c r="L383" s="27" t="s">
        <v>3515</v>
      </c>
      <c r="M383" s="27" t="str">
        <f t="shared" si="64"/>
        <v>};</v>
      </c>
      <c r="P383" s="78"/>
      <c r="Q383" s="6">
        <v>0.0</v>
      </c>
    </row>
    <row r="384" ht="12.0" customHeight="1">
      <c r="A384" s="22"/>
      <c r="B384" s="27" t="str">
        <f t="shared" si="61"/>
        <v>#REF!</v>
      </c>
      <c r="C384" s="27"/>
      <c r="D384" s="27"/>
      <c r="E384" s="27"/>
      <c r="F384" s="27"/>
      <c r="G384" s="27" t="s">
        <v>3512</v>
      </c>
      <c r="H384" s="27" t="str">
        <f t="shared" si="62"/>
        <v>#REF!</v>
      </c>
      <c r="I384" s="27" t="s">
        <v>3515</v>
      </c>
      <c r="J384" s="27" t="s">
        <v>3516</v>
      </c>
      <c r="K384" s="79" t="str">
        <f t="shared" si="63"/>
        <v>#REF!</v>
      </c>
      <c r="L384" s="27" t="s">
        <v>3515</v>
      </c>
      <c r="M384" s="27" t="str">
        <f t="shared" si="64"/>
        <v>};</v>
      </c>
      <c r="P384" s="78"/>
      <c r="Q384" s="6">
        <v>0.0</v>
      </c>
    </row>
    <row r="385" ht="12.0" customHeight="1">
      <c r="A385" s="22"/>
      <c r="B385" s="27" t="str">
        <f t="shared" si="61"/>
        <v>#REF!</v>
      </c>
      <c r="C385" s="27"/>
      <c r="D385" s="27"/>
      <c r="E385" s="27"/>
      <c r="F385" s="27"/>
      <c r="G385" s="27" t="s">
        <v>3512</v>
      </c>
      <c r="H385" s="27" t="str">
        <f t="shared" si="62"/>
        <v>#REF!</v>
      </c>
      <c r="I385" s="27" t="s">
        <v>3515</v>
      </c>
      <c r="J385" s="27" t="s">
        <v>3516</v>
      </c>
      <c r="K385" s="79" t="str">
        <f t="shared" si="63"/>
        <v>#REF!</v>
      </c>
      <c r="L385" s="27" t="s">
        <v>3515</v>
      </c>
      <c r="M385" s="27" t="str">
        <f t="shared" si="64"/>
        <v>};</v>
      </c>
      <c r="P385" s="78"/>
      <c r="Q385" s="6">
        <v>0.0</v>
      </c>
    </row>
    <row r="386" ht="12.0" customHeight="1">
      <c r="A386" s="22"/>
      <c r="B386" s="27" t="str">
        <f t="shared" si="61"/>
        <v>#REF!</v>
      </c>
      <c r="C386" s="27"/>
      <c r="D386" s="27"/>
      <c r="E386" s="27"/>
      <c r="F386" s="27"/>
      <c r="G386" s="27" t="s">
        <v>3512</v>
      </c>
      <c r="H386" s="27" t="str">
        <f t="shared" si="62"/>
        <v>#REF!</v>
      </c>
      <c r="I386" s="27" t="s">
        <v>3515</v>
      </c>
      <c r="J386" s="27" t="s">
        <v>3516</v>
      </c>
      <c r="K386" s="79" t="str">
        <f t="shared" si="63"/>
        <v>#REF!</v>
      </c>
      <c r="L386" s="27" t="s">
        <v>3515</v>
      </c>
      <c r="M386" s="27" t="str">
        <f t="shared" si="64"/>
        <v>};</v>
      </c>
      <c r="P386" s="78"/>
      <c r="Q386" s="6">
        <v>0.0</v>
      </c>
    </row>
    <row r="387" ht="12.0" customHeight="1">
      <c r="A387" s="22"/>
      <c r="B387" s="27" t="str">
        <f t="shared" si="61"/>
        <v>#REF!</v>
      </c>
      <c r="C387" s="27"/>
      <c r="D387" s="27"/>
      <c r="E387" s="27"/>
      <c r="F387" s="27"/>
      <c r="G387" s="27" t="s">
        <v>3512</v>
      </c>
      <c r="H387" s="27" t="str">
        <f t="shared" si="62"/>
        <v>#REF!</v>
      </c>
      <c r="I387" s="27" t="s">
        <v>3515</v>
      </c>
      <c r="J387" s="27" t="s">
        <v>3516</v>
      </c>
      <c r="K387" s="79" t="str">
        <f t="shared" si="63"/>
        <v>#REF!</v>
      </c>
      <c r="L387" s="27" t="s">
        <v>3515</v>
      </c>
      <c r="M387" s="27" t="str">
        <f t="shared" si="64"/>
        <v>};</v>
      </c>
      <c r="P387" s="78"/>
      <c r="Q387" s="6">
        <v>0.0</v>
      </c>
    </row>
    <row r="388" ht="12.0" customHeight="1">
      <c r="A388" s="22"/>
      <c r="B388" s="27" t="str">
        <f t="shared" si="61"/>
        <v>#REF!</v>
      </c>
      <c r="C388" s="27"/>
      <c r="D388" s="27"/>
      <c r="E388" s="27"/>
      <c r="F388" s="27"/>
      <c r="G388" s="27" t="s">
        <v>3512</v>
      </c>
      <c r="H388" s="27" t="str">
        <f t="shared" si="62"/>
        <v>#REF!</v>
      </c>
      <c r="I388" s="27" t="s">
        <v>3515</v>
      </c>
      <c r="J388" s="27" t="s">
        <v>3516</v>
      </c>
      <c r="K388" s="79" t="str">
        <f t="shared" si="63"/>
        <v>#REF!</v>
      </c>
      <c r="L388" s="27" t="s">
        <v>3515</v>
      </c>
      <c r="M388" s="27" t="str">
        <f t="shared" si="64"/>
        <v>};</v>
      </c>
      <c r="P388" s="78"/>
      <c r="Q388" s="6">
        <v>0.0</v>
      </c>
    </row>
    <row r="389" ht="12.0" customHeight="1">
      <c r="A389" s="22"/>
      <c r="B389" s="27" t="str">
        <f t="shared" si="61"/>
        <v>#REF!</v>
      </c>
      <c r="C389" s="27"/>
      <c r="D389" s="27"/>
      <c r="E389" s="27"/>
      <c r="F389" s="27"/>
      <c r="G389" s="27" t="s">
        <v>3512</v>
      </c>
      <c r="H389" s="27" t="str">
        <f t="shared" si="62"/>
        <v>#REF!</v>
      </c>
      <c r="I389" s="27" t="s">
        <v>3515</v>
      </c>
      <c r="J389" s="27" t="s">
        <v>3516</v>
      </c>
      <c r="K389" s="79" t="str">
        <f t="shared" si="63"/>
        <v>#REF!</v>
      </c>
      <c r="L389" s="27" t="s">
        <v>3515</v>
      </c>
      <c r="M389" s="27" t="str">
        <f t="shared" si="64"/>
        <v>};</v>
      </c>
      <c r="P389" s="78"/>
      <c r="Q389" s="6">
        <v>0.0</v>
      </c>
    </row>
    <row r="390" ht="12.0" customHeight="1">
      <c r="A390" s="22"/>
      <c r="B390" s="27" t="str">
        <f t="shared" si="61"/>
        <v>#REF!</v>
      </c>
      <c r="C390" s="27"/>
      <c r="D390" s="27"/>
      <c r="E390" s="27"/>
      <c r="F390" s="27"/>
      <c r="G390" s="27" t="s">
        <v>3512</v>
      </c>
      <c r="H390" s="27" t="str">
        <f t="shared" si="62"/>
        <v>#REF!</v>
      </c>
      <c r="I390" s="27" t="s">
        <v>3515</v>
      </c>
      <c r="J390" s="27" t="s">
        <v>3516</v>
      </c>
      <c r="K390" s="79" t="str">
        <f t="shared" si="63"/>
        <v>#REF!</v>
      </c>
      <c r="L390" s="27" t="s">
        <v>3515</v>
      </c>
      <c r="M390" s="27" t="str">
        <f t="shared" si="64"/>
        <v>};</v>
      </c>
      <c r="P390" s="78"/>
      <c r="Q390" s="6">
        <v>0.0</v>
      </c>
    </row>
    <row r="391" ht="12.0" customHeight="1">
      <c r="A391" s="22"/>
      <c r="B391" s="27" t="str">
        <f t="shared" si="61"/>
        <v>#REF!</v>
      </c>
      <c r="C391" s="27"/>
      <c r="D391" s="27"/>
      <c r="E391" s="27"/>
      <c r="F391" s="27"/>
      <c r="G391" s="27" t="s">
        <v>3512</v>
      </c>
      <c r="H391" s="27" t="str">
        <f t="shared" si="62"/>
        <v>#REF!</v>
      </c>
      <c r="I391" s="27" t="s">
        <v>3515</v>
      </c>
      <c r="J391" s="27" t="s">
        <v>3516</v>
      </c>
      <c r="K391" s="79" t="str">
        <f t="shared" si="63"/>
        <v>#REF!</v>
      </c>
      <c r="L391" s="27" t="s">
        <v>3515</v>
      </c>
      <c r="M391" s="27" t="str">
        <f t="shared" si="64"/>
        <v>};</v>
      </c>
      <c r="P391" s="78"/>
      <c r="Q391" s="6">
        <v>0.0</v>
      </c>
    </row>
    <row r="392" ht="12.0" customHeight="1">
      <c r="A392" s="22"/>
      <c r="B392" s="27" t="str">
        <f t="shared" si="61"/>
        <v>#REF!</v>
      </c>
      <c r="C392" s="27"/>
      <c r="D392" s="27"/>
      <c r="E392" s="27"/>
      <c r="F392" s="27"/>
      <c r="G392" s="27" t="s">
        <v>3512</v>
      </c>
      <c r="H392" s="27" t="str">
        <f t="shared" si="62"/>
        <v>#REF!</v>
      </c>
      <c r="I392" s="27" t="s">
        <v>3515</v>
      </c>
      <c r="J392" s="27" t="s">
        <v>3516</v>
      </c>
      <c r="K392" s="79" t="str">
        <f t="shared" si="63"/>
        <v>#REF!</v>
      </c>
      <c r="L392" s="27" t="s">
        <v>3515</v>
      </c>
      <c r="M392" s="27" t="str">
        <f t="shared" si="64"/>
        <v>};</v>
      </c>
      <c r="P392" s="78"/>
      <c r="Q392" s="6">
        <v>0.0</v>
      </c>
    </row>
    <row r="393" ht="12.0" customHeight="1">
      <c r="A393" s="22"/>
      <c r="B393" s="27" t="str">
        <f t="shared" si="61"/>
        <v>#REF!</v>
      </c>
      <c r="C393" s="27"/>
      <c r="D393" s="27"/>
      <c r="E393" s="27"/>
      <c r="F393" s="27"/>
      <c r="G393" s="27" t="s">
        <v>3512</v>
      </c>
      <c r="H393" s="27" t="str">
        <f t="shared" si="62"/>
        <v>#REF!</v>
      </c>
      <c r="I393" s="27" t="s">
        <v>3515</v>
      </c>
      <c r="J393" s="27" t="s">
        <v>3516</v>
      </c>
      <c r="K393" s="79" t="str">
        <f t="shared" si="63"/>
        <v>#REF!</v>
      </c>
      <c r="L393" s="27" t="s">
        <v>3515</v>
      </c>
      <c r="M393" s="27" t="str">
        <f t="shared" si="64"/>
        <v>};</v>
      </c>
      <c r="P393" s="78"/>
      <c r="Q393" s="6">
        <v>0.0</v>
      </c>
    </row>
    <row r="394" ht="12.0" customHeight="1">
      <c r="A394" s="22"/>
      <c r="B394" s="27" t="str">
        <f t="shared" si="61"/>
        <v>#REF!</v>
      </c>
      <c r="C394" s="27"/>
      <c r="D394" s="27"/>
      <c r="E394" s="27"/>
      <c r="F394" s="27"/>
      <c r="G394" s="27" t="s">
        <v>3512</v>
      </c>
      <c r="H394" s="27" t="str">
        <f t="shared" si="62"/>
        <v>#REF!</v>
      </c>
      <c r="I394" s="27" t="s">
        <v>3515</v>
      </c>
      <c r="J394" s="27" t="s">
        <v>3516</v>
      </c>
      <c r="K394" s="79" t="str">
        <f t="shared" si="63"/>
        <v>#REF!</v>
      </c>
      <c r="L394" s="27" t="s">
        <v>3515</v>
      </c>
      <c r="M394" s="27" t="str">
        <f t="shared" si="64"/>
        <v>};</v>
      </c>
      <c r="P394" s="78"/>
      <c r="Q394" s="6">
        <v>0.0</v>
      </c>
    </row>
    <row r="395" ht="12.0" customHeight="1">
      <c r="A395" s="22"/>
      <c r="B395" s="27" t="str">
        <f t="shared" si="61"/>
        <v>#REF!</v>
      </c>
      <c r="C395" s="27"/>
      <c r="D395" s="27"/>
      <c r="E395" s="27"/>
      <c r="F395" s="27"/>
      <c r="G395" s="27" t="s">
        <v>3512</v>
      </c>
      <c r="H395" s="27" t="str">
        <f t="shared" si="62"/>
        <v>#REF!</v>
      </c>
      <c r="I395" s="27" t="s">
        <v>3515</v>
      </c>
      <c r="J395" s="27" t="s">
        <v>3516</v>
      </c>
      <c r="K395" s="79" t="str">
        <f t="shared" si="63"/>
        <v>#REF!</v>
      </c>
      <c r="L395" s="27" t="s">
        <v>3515</v>
      </c>
      <c r="M395" s="27" t="str">
        <f t="shared" si="64"/>
        <v>};</v>
      </c>
      <c r="P395" s="78"/>
      <c r="Q395" s="6">
        <v>0.0</v>
      </c>
    </row>
    <row r="396" ht="12.0" customHeight="1">
      <c r="A396" s="22"/>
      <c r="B396" s="27" t="str">
        <f t="shared" si="61"/>
        <v>#REF!</v>
      </c>
      <c r="C396" s="27"/>
      <c r="D396" s="27"/>
      <c r="E396" s="27"/>
      <c r="F396" s="27"/>
      <c r="G396" s="27" t="s">
        <v>3512</v>
      </c>
      <c r="H396" s="27" t="str">
        <f t="shared" si="62"/>
        <v>#REF!</v>
      </c>
      <c r="I396" s="27" t="s">
        <v>3515</v>
      </c>
      <c r="J396" s="27" t="s">
        <v>3516</v>
      </c>
      <c r="K396" s="79" t="str">
        <f t="shared" si="63"/>
        <v>#REF!</v>
      </c>
      <c r="L396" s="27" t="s">
        <v>3515</v>
      </c>
      <c r="M396" s="27" t="str">
        <f t="shared" si="64"/>
        <v>};</v>
      </c>
      <c r="P396" s="78"/>
      <c r="Q396" s="6">
        <v>0.0</v>
      </c>
    </row>
    <row r="397" ht="12.0" customHeight="1">
      <c r="A397" s="22"/>
      <c r="B397" s="27" t="str">
        <f t="shared" si="61"/>
        <v>#REF!</v>
      </c>
      <c r="C397" s="27"/>
      <c r="D397" s="27"/>
      <c r="E397" s="27"/>
      <c r="F397" s="27"/>
      <c r="G397" s="27" t="s">
        <v>3512</v>
      </c>
      <c r="H397" s="27" t="str">
        <f t="shared" si="62"/>
        <v>#REF!</v>
      </c>
      <c r="I397" s="27" t="s">
        <v>3515</v>
      </c>
      <c r="J397" s="27" t="s">
        <v>3516</v>
      </c>
      <c r="K397" s="79" t="str">
        <f t="shared" si="63"/>
        <v>#REF!</v>
      </c>
      <c r="L397" s="27" t="s">
        <v>3515</v>
      </c>
      <c r="M397" s="27" t="str">
        <f t="shared" si="64"/>
        <v>};</v>
      </c>
      <c r="P397" s="78"/>
      <c r="Q397" s="6">
        <v>0.0</v>
      </c>
    </row>
    <row r="398" ht="12.0" customHeight="1">
      <c r="A398" s="22"/>
      <c r="B398" s="27" t="str">
        <f t="shared" si="61"/>
        <v>#REF!</v>
      </c>
      <c r="C398" s="27"/>
      <c r="D398" s="27"/>
      <c r="E398" s="27"/>
      <c r="F398" s="27"/>
      <c r="G398" s="27" t="s">
        <v>3512</v>
      </c>
      <c r="H398" s="27" t="str">
        <f t="shared" si="62"/>
        <v>#REF!</v>
      </c>
      <c r="I398" s="27" t="s">
        <v>3515</v>
      </c>
      <c r="J398" s="27" t="s">
        <v>3516</v>
      </c>
      <c r="K398" s="79" t="str">
        <f t="shared" si="63"/>
        <v>#REF!</v>
      </c>
      <c r="L398" s="27" t="s">
        <v>3515</v>
      </c>
      <c r="M398" s="27" t="str">
        <f t="shared" si="64"/>
        <v>};</v>
      </c>
      <c r="P398" s="78"/>
      <c r="Q398" s="6">
        <v>0.0</v>
      </c>
    </row>
    <row r="399" ht="12.0" customHeight="1">
      <c r="A399" s="22"/>
      <c r="B399" s="27" t="str">
        <f t="shared" si="61"/>
        <v>#REF!</v>
      </c>
      <c r="C399" s="27"/>
      <c r="D399" s="27"/>
      <c r="E399" s="27"/>
      <c r="F399" s="27"/>
      <c r="G399" s="27" t="s">
        <v>3512</v>
      </c>
      <c r="H399" s="27" t="str">
        <f t="shared" si="62"/>
        <v>#REF!</v>
      </c>
      <c r="I399" s="27" t="s">
        <v>3515</v>
      </c>
      <c r="J399" s="27" t="s">
        <v>3516</v>
      </c>
      <c r="K399" s="79" t="str">
        <f t="shared" si="63"/>
        <v>#REF!</v>
      </c>
      <c r="L399" s="27" t="s">
        <v>3515</v>
      </c>
      <c r="M399" s="27" t="str">
        <f t="shared" si="64"/>
        <v>};</v>
      </c>
      <c r="P399" s="78"/>
      <c r="Q399" s="6">
        <v>0.0</v>
      </c>
    </row>
    <row r="400" ht="12.0" customHeight="1">
      <c r="A400" s="22"/>
      <c r="B400" s="27" t="str">
        <f t="shared" si="61"/>
        <v>#REF!</v>
      </c>
      <c r="C400" s="27"/>
      <c r="D400" s="27"/>
      <c r="E400" s="27"/>
      <c r="F400" s="27"/>
      <c r="G400" s="27" t="s">
        <v>3512</v>
      </c>
      <c r="H400" s="27" t="str">
        <f t="shared" si="62"/>
        <v>#REF!</v>
      </c>
      <c r="I400" s="27" t="s">
        <v>3515</v>
      </c>
      <c r="J400" s="27" t="s">
        <v>3516</v>
      </c>
      <c r="K400" s="79" t="str">
        <f t="shared" si="63"/>
        <v>#REF!</v>
      </c>
      <c r="L400" s="27" t="s">
        <v>3515</v>
      </c>
      <c r="M400" s="27" t="str">
        <f t="shared" si="64"/>
        <v>};</v>
      </c>
      <c r="P400" s="78"/>
      <c r="Q400" s="6">
        <v>0.0</v>
      </c>
    </row>
    <row r="401" ht="12.0" customHeight="1">
      <c r="A401" s="22"/>
      <c r="B401" s="27" t="str">
        <f t="shared" si="61"/>
        <v>#REF!</v>
      </c>
      <c r="C401" s="27"/>
      <c r="D401" s="27"/>
      <c r="E401" s="27"/>
      <c r="F401" s="27"/>
      <c r="G401" s="27" t="s">
        <v>3512</v>
      </c>
      <c r="H401" s="27" t="str">
        <f t="shared" si="62"/>
        <v>#REF!</v>
      </c>
      <c r="I401" s="27" t="s">
        <v>3515</v>
      </c>
      <c r="J401" s="27" t="s">
        <v>3516</v>
      </c>
      <c r="K401" s="79" t="str">
        <f t="shared" si="63"/>
        <v>#REF!</v>
      </c>
      <c r="L401" s="27" t="s">
        <v>3515</v>
      </c>
      <c r="M401" s="27" t="str">
        <f t="shared" si="64"/>
        <v>};</v>
      </c>
      <c r="P401" s="78"/>
      <c r="Q401" s="6">
        <v>0.0</v>
      </c>
    </row>
    <row r="402" ht="12.0" customHeight="1">
      <c r="A402" s="92"/>
      <c r="B402" s="93" t="str">
        <f t="shared" si="61"/>
        <v>#REF!</v>
      </c>
      <c r="C402" s="92"/>
      <c r="D402" s="92"/>
      <c r="E402" s="92"/>
      <c r="F402" s="92"/>
      <c r="G402" s="94" t="s">
        <v>3512</v>
      </c>
      <c r="H402" s="41" t="str">
        <f t="shared" si="62"/>
        <v>#REF!</v>
      </c>
      <c r="I402" s="94" t="s">
        <v>3515</v>
      </c>
      <c r="J402" s="94" t="s">
        <v>3516</v>
      </c>
      <c r="K402" s="26" t="str">
        <f t="shared" si="63"/>
        <v>#REF!</v>
      </c>
      <c r="L402" s="94" t="s">
        <v>3515</v>
      </c>
      <c r="M402" s="94" t="str">
        <f t="shared" si="64"/>
        <v>};</v>
      </c>
      <c r="N402" s="92"/>
      <c r="O402" s="92"/>
      <c r="P402" s="95"/>
      <c r="Q402" s="96">
        <v>0.0</v>
      </c>
      <c r="R402" s="92"/>
      <c r="S402" s="92"/>
      <c r="T402" s="92"/>
      <c r="U402" s="92"/>
      <c r="V402" s="92"/>
      <c r="W402" s="92"/>
      <c r="X402" s="92"/>
      <c r="Y402" s="92"/>
      <c r="Z402" s="92"/>
    </row>
    <row r="403" ht="12.0" customHeight="1">
      <c r="A403" s="22"/>
      <c r="B403" s="27" t="str">
        <f t="shared" si="61"/>
        <v>#REF!</v>
      </c>
      <c r="C403" s="27"/>
      <c r="D403" s="27"/>
      <c r="E403" s="27"/>
      <c r="F403" s="27"/>
      <c r="G403" s="27" t="s">
        <v>3512</v>
      </c>
      <c r="H403" s="27" t="str">
        <f t="shared" si="62"/>
        <v>#REF!</v>
      </c>
      <c r="I403" s="27" t="s">
        <v>3515</v>
      </c>
      <c r="J403" s="27" t="s">
        <v>3516</v>
      </c>
      <c r="K403" s="79" t="str">
        <f t="shared" si="63"/>
        <v>#REF!</v>
      </c>
      <c r="L403" s="27" t="s">
        <v>3515</v>
      </c>
      <c r="M403" s="27" t="str">
        <f t="shared" si="64"/>
        <v>};</v>
      </c>
      <c r="P403" s="78"/>
      <c r="Q403" s="6">
        <v>0.0</v>
      </c>
    </row>
    <row r="404" ht="12.0" customHeight="1">
      <c r="A404" s="22"/>
      <c r="B404" s="27" t="str">
        <f t="shared" si="61"/>
        <v>#REF!</v>
      </c>
      <c r="C404" s="27"/>
      <c r="D404" s="27"/>
      <c r="E404" s="27"/>
      <c r="F404" s="27"/>
      <c r="G404" s="27" t="s">
        <v>3512</v>
      </c>
      <c r="H404" s="27" t="str">
        <f t="shared" si="62"/>
        <v>#REF!</v>
      </c>
      <c r="I404" s="27" t="s">
        <v>3515</v>
      </c>
      <c r="J404" s="27" t="s">
        <v>3516</v>
      </c>
      <c r="K404" s="79" t="str">
        <f t="shared" si="63"/>
        <v>#REF!</v>
      </c>
      <c r="L404" s="27" t="s">
        <v>3515</v>
      </c>
      <c r="M404" s="27" t="str">
        <f t="shared" si="64"/>
        <v>};</v>
      </c>
      <c r="P404" s="78"/>
      <c r="Q404" s="6">
        <v>0.0</v>
      </c>
    </row>
    <row r="405" ht="12.0" customHeight="1">
      <c r="A405" s="22"/>
      <c r="B405" s="27" t="str">
        <f t="shared" si="61"/>
        <v>#REF!</v>
      </c>
      <c r="C405" s="27"/>
      <c r="D405" s="27"/>
      <c r="E405" s="27"/>
      <c r="F405" s="27"/>
      <c r="G405" s="27" t="s">
        <v>3512</v>
      </c>
      <c r="H405" s="27" t="str">
        <f t="shared" si="62"/>
        <v>#REF!</v>
      </c>
      <c r="I405" s="27" t="s">
        <v>3515</v>
      </c>
      <c r="J405" s="27" t="s">
        <v>3516</v>
      </c>
      <c r="K405" s="79" t="str">
        <f t="shared" si="63"/>
        <v>#REF!</v>
      </c>
      <c r="L405" s="27" t="s">
        <v>3515</v>
      </c>
      <c r="M405" s="27" t="str">
        <f t="shared" si="64"/>
        <v>};</v>
      </c>
      <c r="P405" s="78"/>
      <c r="Q405" s="6">
        <v>0.0</v>
      </c>
    </row>
    <row r="406" ht="12.0" customHeight="1">
      <c r="A406" s="22"/>
      <c r="B406" s="27" t="str">
        <f t="shared" si="61"/>
        <v>#REF!</v>
      </c>
      <c r="C406" s="27"/>
      <c r="D406" s="27"/>
      <c r="E406" s="27"/>
      <c r="F406" s="27"/>
      <c r="G406" s="27" t="s">
        <v>3512</v>
      </c>
      <c r="H406" s="27" t="str">
        <f t="shared" si="62"/>
        <v>#REF!</v>
      </c>
      <c r="I406" s="27" t="s">
        <v>3515</v>
      </c>
      <c r="J406" s="27" t="s">
        <v>3516</v>
      </c>
      <c r="K406" s="79" t="str">
        <f t="shared" si="63"/>
        <v>#REF!</v>
      </c>
      <c r="L406" s="27" t="s">
        <v>3515</v>
      </c>
      <c r="M406" s="27" t="str">
        <f t="shared" si="64"/>
        <v>};</v>
      </c>
      <c r="P406" s="78"/>
      <c r="Q406" s="6">
        <v>0.0</v>
      </c>
    </row>
    <row r="407" ht="12.0" customHeight="1">
      <c r="A407" s="22"/>
      <c r="B407" s="27" t="str">
        <f t="shared" si="61"/>
        <v>#REF!</v>
      </c>
      <c r="C407" s="27"/>
      <c r="D407" s="27"/>
      <c r="E407" s="27"/>
      <c r="F407" s="27"/>
      <c r="G407" s="27" t="s">
        <v>3512</v>
      </c>
      <c r="H407" s="27" t="str">
        <f t="shared" si="62"/>
        <v>#REF!</v>
      </c>
      <c r="I407" s="27" t="s">
        <v>3515</v>
      </c>
      <c r="J407" s="27" t="s">
        <v>3516</v>
      </c>
      <c r="K407" s="79" t="str">
        <f t="shared" si="63"/>
        <v>#REF!</v>
      </c>
      <c r="L407" s="27" t="s">
        <v>3515</v>
      </c>
      <c r="M407" s="27" t="str">
        <f t="shared" si="64"/>
        <v>};</v>
      </c>
      <c r="P407" s="78"/>
      <c r="Q407" s="6">
        <v>0.0</v>
      </c>
    </row>
    <row r="408" ht="12.0" customHeight="1">
      <c r="A408" s="22"/>
      <c r="B408" s="27" t="str">
        <f t="shared" si="61"/>
        <v>#REF!</v>
      </c>
      <c r="C408" s="27"/>
      <c r="D408" s="27"/>
      <c r="E408" s="27"/>
      <c r="F408" s="27"/>
      <c r="G408" s="27" t="s">
        <v>3512</v>
      </c>
      <c r="H408" s="27" t="str">
        <f t="shared" si="62"/>
        <v>#REF!</v>
      </c>
      <c r="I408" s="27" t="s">
        <v>3515</v>
      </c>
      <c r="J408" s="27" t="s">
        <v>3516</v>
      </c>
      <c r="K408" s="79" t="str">
        <f t="shared" si="63"/>
        <v>#REF!</v>
      </c>
      <c r="L408" s="27" t="s">
        <v>3515</v>
      </c>
      <c r="M408" s="27" t="str">
        <f t="shared" si="64"/>
        <v>};</v>
      </c>
      <c r="P408" s="78"/>
      <c r="Q408" s="6">
        <v>0.0</v>
      </c>
    </row>
    <row r="409" ht="12.0" customHeight="1">
      <c r="A409" s="22"/>
      <c r="B409" s="27" t="str">
        <f t="shared" si="61"/>
        <v>#REF!</v>
      </c>
      <c r="C409" s="27"/>
      <c r="D409" s="27"/>
      <c r="E409" s="27"/>
      <c r="F409" s="27"/>
      <c r="G409" s="27" t="s">
        <v>3512</v>
      </c>
      <c r="H409" s="27" t="str">
        <f t="shared" si="62"/>
        <v>#REF!</v>
      </c>
      <c r="I409" s="27" t="s">
        <v>3515</v>
      </c>
      <c r="J409" s="27" t="s">
        <v>3516</v>
      </c>
      <c r="K409" s="79" t="str">
        <f t="shared" si="63"/>
        <v>#REF!</v>
      </c>
      <c r="L409" s="27" t="s">
        <v>3515</v>
      </c>
      <c r="M409" s="27" t="str">
        <f t="shared" si="64"/>
        <v>};</v>
      </c>
      <c r="P409" s="78"/>
      <c r="Q409" s="6">
        <v>0.0</v>
      </c>
    </row>
    <row r="410" ht="12.0" customHeight="1">
      <c r="A410" s="22"/>
      <c r="B410" s="27" t="str">
        <f t="shared" si="61"/>
        <v>#REF!</v>
      </c>
      <c r="C410" s="27"/>
      <c r="D410" s="27"/>
      <c r="E410" s="27"/>
      <c r="F410" s="27"/>
      <c r="G410" s="27" t="s">
        <v>3512</v>
      </c>
      <c r="H410" s="27" t="str">
        <f t="shared" si="62"/>
        <v>#REF!</v>
      </c>
      <c r="I410" s="27" t="s">
        <v>3515</v>
      </c>
      <c r="J410" s="27" t="s">
        <v>3516</v>
      </c>
      <c r="K410" s="79" t="str">
        <f t="shared" si="63"/>
        <v>#REF!</v>
      </c>
      <c r="L410" s="27" t="s">
        <v>3515</v>
      </c>
      <c r="M410" s="27" t="str">
        <f t="shared" si="64"/>
        <v>};</v>
      </c>
      <c r="P410" s="78"/>
      <c r="Q410" s="6">
        <v>0.0</v>
      </c>
    </row>
    <row r="411" ht="12.0" customHeight="1">
      <c r="A411" s="22"/>
      <c r="B411" s="27" t="str">
        <f t="shared" si="61"/>
        <v>#REF!</v>
      </c>
      <c r="C411" s="27"/>
      <c r="D411" s="27"/>
      <c r="E411" s="27"/>
      <c r="F411" s="27"/>
      <c r="G411" s="27" t="s">
        <v>3512</v>
      </c>
      <c r="H411" s="27" t="str">
        <f t="shared" si="62"/>
        <v>#REF!</v>
      </c>
      <c r="I411" s="27" t="s">
        <v>3515</v>
      </c>
      <c r="J411" s="27" t="s">
        <v>3516</v>
      </c>
      <c r="K411" s="79" t="str">
        <f t="shared" si="63"/>
        <v>#REF!</v>
      </c>
      <c r="L411" s="27" t="s">
        <v>3515</v>
      </c>
      <c r="M411" s="27" t="str">
        <f t="shared" si="64"/>
        <v>};</v>
      </c>
      <c r="P411" s="78"/>
      <c r="Q411" s="6">
        <v>0.0</v>
      </c>
    </row>
    <row r="412" ht="12.0" customHeight="1">
      <c r="A412" s="22"/>
      <c r="B412" s="27" t="str">
        <f t="shared" si="61"/>
        <v>#REF!</v>
      </c>
      <c r="C412" s="27"/>
      <c r="D412" s="27"/>
      <c r="E412" s="27"/>
      <c r="F412" s="27"/>
      <c r="G412" s="27" t="s">
        <v>3512</v>
      </c>
      <c r="H412" s="27" t="str">
        <f t="shared" si="62"/>
        <v>#REF!</v>
      </c>
      <c r="I412" s="27" t="s">
        <v>3515</v>
      </c>
      <c r="J412" s="27" t="s">
        <v>3516</v>
      </c>
      <c r="K412" s="79" t="str">
        <f t="shared" si="63"/>
        <v>#REF!</v>
      </c>
      <c r="L412" s="27" t="s">
        <v>3515</v>
      </c>
      <c r="M412" s="27" t="str">
        <f t="shared" si="64"/>
        <v>};</v>
      </c>
      <c r="P412" s="78"/>
      <c r="Q412" s="6">
        <v>0.0</v>
      </c>
    </row>
    <row r="413" ht="12.0" customHeight="1">
      <c r="A413" s="22"/>
      <c r="B413" s="27" t="str">
        <f t="shared" si="61"/>
        <v>#REF!</v>
      </c>
      <c r="C413" s="27"/>
      <c r="D413" s="27"/>
      <c r="E413" s="27"/>
      <c r="F413" s="27"/>
      <c r="G413" s="27" t="s">
        <v>3512</v>
      </c>
      <c r="H413" s="27" t="str">
        <f t="shared" si="62"/>
        <v>#REF!</v>
      </c>
      <c r="I413" s="27" t="s">
        <v>3515</v>
      </c>
      <c r="J413" s="27" t="s">
        <v>3516</v>
      </c>
      <c r="K413" s="79" t="str">
        <f t="shared" si="63"/>
        <v>#REF!</v>
      </c>
      <c r="L413" s="27" t="s">
        <v>3515</v>
      </c>
      <c r="M413" s="27" t="str">
        <f t="shared" si="64"/>
        <v>};</v>
      </c>
      <c r="P413" s="78"/>
      <c r="Q413" s="6">
        <v>0.0</v>
      </c>
    </row>
    <row r="414" ht="12.0" customHeight="1">
      <c r="A414" s="22"/>
      <c r="B414" s="27" t="str">
        <f t="shared" si="61"/>
        <v>#REF!</v>
      </c>
      <c r="C414" s="27"/>
      <c r="D414" s="27"/>
      <c r="E414" s="27"/>
      <c r="F414" s="27"/>
      <c r="G414" s="27" t="s">
        <v>3512</v>
      </c>
      <c r="H414" s="27" t="str">
        <f t="shared" si="62"/>
        <v>#REF!</v>
      </c>
      <c r="I414" s="27" t="s">
        <v>3515</v>
      </c>
      <c r="J414" s="27" t="s">
        <v>3516</v>
      </c>
      <c r="K414" s="79" t="str">
        <f t="shared" si="63"/>
        <v>#REF!</v>
      </c>
      <c r="L414" s="27" t="s">
        <v>3515</v>
      </c>
      <c r="M414" s="27" t="str">
        <f t="shared" si="64"/>
        <v>};</v>
      </c>
      <c r="P414" s="78"/>
      <c r="Q414" s="6">
        <v>0.0</v>
      </c>
    </row>
    <row r="415" ht="12.0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P415" s="78"/>
    </row>
    <row r="416" ht="12.0" customHeight="1">
      <c r="A416" s="22"/>
      <c r="B416" s="22" t="s">
        <v>174</v>
      </c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P416" s="78"/>
    </row>
    <row r="417" ht="12.0" customHeight="1">
      <c r="A417" s="22"/>
      <c r="B417" s="22" t="s">
        <v>3936</v>
      </c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P417" s="78"/>
    </row>
    <row r="418" ht="12.0" customHeight="1">
      <c r="A418" s="22"/>
      <c r="B418" s="22" t="s">
        <v>174</v>
      </c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P418" s="78"/>
    </row>
    <row r="419" ht="12.0" customHeight="1">
      <c r="A419" s="22"/>
      <c r="B419" s="27" t="str">
        <f t="shared" ref="B419:B443" si="65">'Exile INPUT'!C399</f>
        <v>#REF!</v>
      </c>
      <c r="C419" s="27"/>
      <c r="D419" s="27"/>
      <c r="E419" s="27"/>
      <c r="F419" s="27"/>
      <c r="G419" s="27" t="s">
        <v>3512</v>
      </c>
      <c r="H419" s="27" t="str">
        <f t="shared" ref="H419:H443" si="66">'Exile INPUT'!F399</f>
        <v>#REF!</v>
      </c>
      <c r="I419" s="27" t="s">
        <v>3515</v>
      </c>
      <c r="J419" s="27" t="s">
        <v>3516</v>
      </c>
      <c r="K419" s="79" t="str">
        <f t="shared" ref="K419:K443" si="67">'Exile INPUT'!J399</f>
        <v>#REF!</v>
      </c>
      <c r="L419" s="27" t="s">
        <v>3515</v>
      </c>
      <c r="M419" s="27" t="str">
        <f t="shared" ref="M419:M443" si="68">IF(Q419 = 0, "};",CONCATENATE("sellPrice = ",Q419,"; };"))</f>
        <v>};</v>
      </c>
      <c r="P419" s="78"/>
      <c r="Q419" s="6">
        <v>0.0</v>
      </c>
    </row>
    <row r="420" ht="12.0" customHeight="1">
      <c r="A420" s="22"/>
      <c r="B420" s="27" t="str">
        <f t="shared" si="65"/>
        <v>#REF!</v>
      </c>
      <c r="C420" s="27"/>
      <c r="D420" s="27"/>
      <c r="E420" s="27"/>
      <c r="F420" s="27"/>
      <c r="G420" s="27" t="s">
        <v>3512</v>
      </c>
      <c r="H420" s="27" t="str">
        <f t="shared" si="66"/>
        <v>#REF!</v>
      </c>
      <c r="I420" s="27" t="s">
        <v>3515</v>
      </c>
      <c r="J420" s="27" t="s">
        <v>3516</v>
      </c>
      <c r="K420" s="79" t="str">
        <f t="shared" si="67"/>
        <v>#REF!</v>
      </c>
      <c r="L420" s="27" t="s">
        <v>3515</v>
      </c>
      <c r="M420" s="27" t="str">
        <f t="shared" si="68"/>
        <v>};</v>
      </c>
      <c r="P420" s="78"/>
      <c r="Q420" s="6">
        <v>0.0</v>
      </c>
    </row>
    <row r="421" ht="12.0" customHeight="1">
      <c r="A421" s="22"/>
      <c r="B421" s="27" t="str">
        <f t="shared" si="65"/>
        <v>#REF!</v>
      </c>
      <c r="C421" s="27"/>
      <c r="D421" s="27"/>
      <c r="E421" s="27"/>
      <c r="F421" s="27"/>
      <c r="G421" s="27" t="s">
        <v>3512</v>
      </c>
      <c r="H421" s="27" t="str">
        <f t="shared" si="66"/>
        <v>#REF!</v>
      </c>
      <c r="I421" s="27" t="s">
        <v>3515</v>
      </c>
      <c r="J421" s="27" t="s">
        <v>3516</v>
      </c>
      <c r="K421" s="79" t="str">
        <f t="shared" si="67"/>
        <v>#REF!</v>
      </c>
      <c r="L421" s="27" t="s">
        <v>3515</v>
      </c>
      <c r="M421" s="27" t="str">
        <f t="shared" si="68"/>
        <v>};</v>
      </c>
      <c r="P421" s="78"/>
      <c r="Q421" s="6">
        <v>0.0</v>
      </c>
    </row>
    <row r="422" ht="12.0" customHeight="1">
      <c r="A422" s="22"/>
      <c r="B422" s="27" t="str">
        <f t="shared" si="65"/>
        <v>#REF!</v>
      </c>
      <c r="C422" s="27"/>
      <c r="D422" s="27"/>
      <c r="E422" s="27"/>
      <c r="F422" s="27"/>
      <c r="G422" s="27" t="s">
        <v>3512</v>
      </c>
      <c r="H422" s="27" t="str">
        <f t="shared" si="66"/>
        <v>#REF!</v>
      </c>
      <c r="I422" s="27" t="s">
        <v>3515</v>
      </c>
      <c r="J422" s="27" t="s">
        <v>3516</v>
      </c>
      <c r="K422" s="79" t="str">
        <f t="shared" si="67"/>
        <v>#REF!</v>
      </c>
      <c r="L422" s="27" t="s">
        <v>3515</v>
      </c>
      <c r="M422" s="27" t="str">
        <f t="shared" si="68"/>
        <v>};</v>
      </c>
      <c r="P422" s="78"/>
      <c r="Q422" s="6">
        <v>0.0</v>
      </c>
    </row>
    <row r="423" ht="12.0" customHeight="1">
      <c r="A423" s="22"/>
      <c r="B423" s="27" t="str">
        <f t="shared" si="65"/>
        <v>#REF!</v>
      </c>
      <c r="C423" s="27"/>
      <c r="D423" s="27"/>
      <c r="E423" s="27"/>
      <c r="F423" s="27"/>
      <c r="G423" s="27" t="s">
        <v>3512</v>
      </c>
      <c r="H423" s="27" t="str">
        <f t="shared" si="66"/>
        <v>#REF!</v>
      </c>
      <c r="I423" s="27" t="s">
        <v>3515</v>
      </c>
      <c r="J423" s="27" t="s">
        <v>3516</v>
      </c>
      <c r="K423" s="79" t="str">
        <f t="shared" si="67"/>
        <v>#REF!</v>
      </c>
      <c r="L423" s="27" t="s">
        <v>3515</v>
      </c>
      <c r="M423" s="27" t="str">
        <f t="shared" si="68"/>
        <v>};</v>
      </c>
      <c r="P423" s="78"/>
      <c r="Q423" s="6">
        <v>0.0</v>
      </c>
    </row>
    <row r="424" ht="12.0" customHeight="1">
      <c r="A424" s="22"/>
      <c r="B424" s="27" t="str">
        <f t="shared" si="65"/>
        <v>#REF!</v>
      </c>
      <c r="C424" s="27"/>
      <c r="D424" s="27"/>
      <c r="E424" s="27"/>
      <c r="F424" s="27"/>
      <c r="G424" s="27" t="s">
        <v>3512</v>
      </c>
      <c r="H424" s="27" t="str">
        <f t="shared" si="66"/>
        <v>#REF!</v>
      </c>
      <c r="I424" s="27" t="s">
        <v>3515</v>
      </c>
      <c r="J424" s="27" t="s">
        <v>3516</v>
      </c>
      <c r="K424" s="79" t="str">
        <f t="shared" si="67"/>
        <v>#REF!</v>
      </c>
      <c r="L424" s="27" t="s">
        <v>3515</v>
      </c>
      <c r="M424" s="27" t="str">
        <f t="shared" si="68"/>
        <v>};</v>
      </c>
      <c r="P424" s="78"/>
      <c r="Q424" s="6">
        <v>0.0</v>
      </c>
    </row>
    <row r="425" ht="12.0" customHeight="1">
      <c r="A425" s="22"/>
      <c r="B425" s="27" t="str">
        <f t="shared" si="65"/>
        <v>#REF!</v>
      </c>
      <c r="C425" s="27"/>
      <c r="D425" s="27"/>
      <c r="E425" s="27"/>
      <c r="F425" s="27"/>
      <c r="G425" s="27" t="s">
        <v>3512</v>
      </c>
      <c r="H425" s="27" t="str">
        <f t="shared" si="66"/>
        <v>#REF!</v>
      </c>
      <c r="I425" s="27" t="s">
        <v>3515</v>
      </c>
      <c r="J425" s="27" t="s">
        <v>3516</v>
      </c>
      <c r="K425" s="79" t="str">
        <f t="shared" si="67"/>
        <v>#REF!</v>
      </c>
      <c r="L425" s="27" t="s">
        <v>3515</v>
      </c>
      <c r="M425" s="27" t="str">
        <f t="shared" si="68"/>
        <v>};</v>
      </c>
      <c r="P425" s="78"/>
      <c r="Q425" s="6">
        <v>0.0</v>
      </c>
    </row>
    <row r="426" ht="12.0" customHeight="1">
      <c r="A426" s="22"/>
      <c r="B426" s="27" t="str">
        <f t="shared" si="65"/>
        <v>#REF!</v>
      </c>
      <c r="C426" s="27"/>
      <c r="D426" s="27"/>
      <c r="E426" s="27"/>
      <c r="F426" s="27"/>
      <c r="G426" s="27" t="s">
        <v>3512</v>
      </c>
      <c r="H426" s="27" t="str">
        <f t="shared" si="66"/>
        <v>#REF!</v>
      </c>
      <c r="I426" s="27" t="s">
        <v>3515</v>
      </c>
      <c r="J426" s="27" t="s">
        <v>3516</v>
      </c>
      <c r="K426" s="79" t="str">
        <f t="shared" si="67"/>
        <v>#REF!</v>
      </c>
      <c r="L426" s="27" t="s">
        <v>3515</v>
      </c>
      <c r="M426" s="27" t="str">
        <f t="shared" si="68"/>
        <v>};</v>
      </c>
      <c r="P426" s="78"/>
      <c r="Q426" s="6">
        <v>0.0</v>
      </c>
    </row>
    <row r="427" ht="12.0" customHeight="1">
      <c r="A427" s="22"/>
      <c r="B427" s="27" t="str">
        <f t="shared" si="65"/>
        <v>#REF!</v>
      </c>
      <c r="C427" s="27"/>
      <c r="D427" s="27"/>
      <c r="E427" s="27"/>
      <c r="F427" s="27"/>
      <c r="G427" s="27" t="s">
        <v>3512</v>
      </c>
      <c r="H427" s="27" t="str">
        <f t="shared" si="66"/>
        <v>#REF!</v>
      </c>
      <c r="I427" s="27" t="s">
        <v>3515</v>
      </c>
      <c r="J427" s="27" t="s">
        <v>3516</v>
      </c>
      <c r="K427" s="79" t="str">
        <f t="shared" si="67"/>
        <v>#REF!</v>
      </c>
      <c r="L427" s="27" t="s">
        <v>3515</v>
      </c>
      <c r="M427" s="27" t="str">
        <f t="shared" si="68"/>
        <v>};</v>
      </c>
      <c r="P427" s="78"/>
      <c r="Q427" s="6">
        <v>0.0</v>
      </c>
    </row>
    <row r="428" ht="12.0" customHeight="1">
      <c r="A428" s="22"/>
      <c r="B428" s="27" t="str">
        <f t="shared" si="65"/>
        <v>#REF!</v>
      </c>
      <c r="C428" s="27"/>
      <c r="D428" s="27"/>
      <c r="E428" s="27"/>
      <c r="F428" s="27"/>
      <c r="G428" s="27" t="s">
        <v>3512</v>
      </c>
      <c r="H428" s="27" t="str">
        <f t="shared" si="66"/>
        <v>#REF!</v>
      </c>
      <c r="I428" s="27" t="s">
        <v>3515</v>
      </c>
      <c r="J428" s="27" t="s">
        <v>3516</v>
      </c>
      <c r="K428" s="79" t="str">
        <f t="shared" si="67"/>
        <v>#REF!</v>
      </c>
      <c r="L428" s="27" t="s">
        <v>3515</v>
      </c>
      <c r="M428" s="27" t="str">
        <f t="shared" si="68"/>
        <v>};</v>
      </c>
      <c r="P428" s="78"/>
      <c r="Q428" s="6">
        <v>0.0</v>
      </c>
    </row>
    <row r="429" ht="12.0" customHeight="1">
      <c r="A429" s="22"/>
      <c r="B429" s="27" t="str">
        <f t="shared" si="65"/>
        <v>#REF!</v>
      </c>
      <c r="C429" s="27"/>
      <c r="D429" s="27"/>
      <c r="E429" s="27"/>
      <c r="F429" s="27"/>
      <c r="G429" s="27" t="s">
        <v>3512</v>
      </c>
      <c r="H429" s="27" t="str">
        <f t="shared" si="66"/>
        <v>#REF!</v>
      </c>
      <c r="I429" s="27" t="s">
        <v>3515</v>
      </c>
      <c r="J429" s="27" t="s">
        <v>3516</v>
      </c>
      <c r="K429" s="79" t="str">
        <f t="shared" si="67"/>
        <v>#REF!</v>
      </c>
      <c r="L429" s="27" t="s">
        <v>3515</v>
      </c>
      <c r="M429" s="27" t="str">
        <f t="shared" si="68"/>
        <v>};</v>
      </c>
      <c r="P429" s="78"/>
      <c r="Q429" s="6">
        <v>0.0</v>
      </c>
    </row>
    <row r="430" ht="12.0" customHeight="1">
      <c r="A430" s="22"/>
      <c r="B430" s="27" t="str">
        <f t="shared" si="65"/>
        <v>#REF!</v>
      </c>
      <c r="C430" s="27"/>
      <c r="D430" s="27"/>
      <c r="E430" s="27"/>
      <c r="F430" s="27"/>
      <c r="G430" s="27" t="s">
        <v>3512</v>
      </c>
      <c r="H430" s="27" t="str">
        <f t="shared" si="66"/>
        <v>#REF!</v>
      </c>
      <c r="I430" s="27" t="s">
        <v>3515</v>
      </c>
      <c r="J430" s="27" t="s">
        <v>3516</v>
      </c>
      <c r="K430" s="79" t="str">
        <f t="shared" si="67"/>
        <v>#REF!</v>
      </c>
      <c r="L430" s="27" t="s">
        <v>3515</v>
      </c>
      <c r="M430" s="27" t="str">
        <f t="shared" si="68"/>
        <v>};</v>
      </c>
      <c r="P430" s="78"/>
      <c r="Q430" s="6">
        <v>0.0</v>
      </c>
    </row>
    <row r="431" ht="12.0" customHeight="1">
      <c r="A431" s="22"/>
      <c r="B431" s="27" t="str">
        <f t="shared" si="65"/>
        <v>#REF!</v>
      </c>
      <c r="C431" s="27"/>
      <c r="D431" s="27"/>
      <c r="E431" s="27"/>
      <c r="F431" s="27"/>
      <c r="G431" s="27" t="s">
        <v>3512</v>
      </c>
      <c r="H431" s="27" t="str">
        <f t="shared" si="66"/>
        <v>#REF!</v>
      </c>
      <c r="I431" s="27" t="s">
        <v>3515</v>
      </c>
      <c r="J431" s="27" t="s">
        <v>3516</v>
      </c>
      <c r="K431" s="79" t="str">
        <f t="shared" si="67"/>
        <v>#REF!</v>
      </c>
      <c r="L431" s="27" t="s">
        <v>3515</v>
      </c>
      <c r="M431" s="27" t="str">
        <f t="shared" si="68"/>
        <v>};</v>
      </c>
      <c r="P431" s="78"/>
      <c r="Q431" s="6">
        <v>0.0</v>
      </c>
    </row>
    <row r="432" ht="12.0" customHeight="1">
      <c r="A432" s="22"/>
      <c r="B432" s="27" t="str">
        <f t="shared" si="65"/>
        <v>#REF!</v>
      </c>
      <c r="C432" s="27"/>
      <c r="D432" s="27"/>
      <c r="E432" s="27"/>
      <c r="F432" s="27"/>
      <c r="G432" s="27" t="s">
        <v>3512</v>
      </c>
      <c r="H432" s="27" t="str">
        <f t="shared" si="66"/>
        <v>#REF!</v>
      </c>
      <c r="I432" s="27" t="s">
        <v>3515</v>
      </c>
      <c r="J432" s="27" t="s">
        <v>3516</v>
      </c>
      <c r="K432" s="79" t="str">
        <f t="shared" si="67"/>
        <v>#REF!</v>
      </c>
      <c r="L432" s="27" t="s">
        <v>3515</v>
      </c>
      <c r="M432" s="27" t="str">
        <f t="shared" si="68"/>
        <v>};</v>
      </c>
      <c r="P432" s="78"/>
      <c r="Q432" s="6">
        <v>0.0</v>
      </c>
    </row>
    <row r="433" ht="12.0" customHeight="1">
      <c r="A433" s="22"/>
      <c r="B433" s="27" t="str">
        <f t="shared" si="65"/>
        <v>#REF!</v>
      </c>
      <c r="C433" s="27"/>
      <c r="D433" s="27"/>
      <c r="E433" s="27"/>
      <c r="F433" s="27"/>
      <c r="G433" s="27" t="s">
        <v>3512</v>
      </c>
      <c r="H433" s="27" t="str">
        <f t="shared" si="66"/>
        <v>#REF!</v>
      </c>
      <c r="I433" s="27" t="s">
        <v>3515</v>
      </c>
      <c r="J433" s="27" t="s">
        <v>3516</v>
      </c>
      <c r="K433" s="79" t="str">
        <f t="shared" si="67"/>
        <v>#REF!</v>
      </c>
      <c r="L433" s="27" t="s">
        <v>3515</v>
      </c>
      <c r="M433" s="27" t="str">
        <f t="shared" si="68"/>
        <v>};</v>
      </c>
      <c r="P433" s="78"/>
      <c r="Q433" s="6">
        <v>0.0</v>
      </c>
    </row>
    <row r="434" ht="12.0" customHeight="1">
      <c r="A434" s="22"/>
      <c r="B434" s="27" t="str">
        <f t="shared" si="65"/>
        <v>#REF!</v>
      </c>
      <c r="C434" s="27"/>
      <c r="D434" s="27"/>
      <c r="E434" s="27"/>
      <c r="F434" s="27"/>
      <c r="G434" s="27" t="s">
        <v>3512</v>
      </c>
      <c r="H434" s="27" t="str">
        <f t="shared" si="66"/>
        <v>#REF!</v>
      </c>
      <c r="I434" s="27" t="s">
        <v>3515</v>
      </c>
      <c r="J434" s="27" t="s">
        <v>3516</v>
      </c>
      <c r="K434" s="79" t="str">
        <f t="shared" si="67"/>
        <v>#REF!</v>
      </c>
      <c r="L434" s="27" t="s">
        <v>3515</v>
      </c>
      <c r="M434" s="27" t="str">
        <f t="shared" si="68"/>
        <v>};</v>
      </c>
      <c r="P434" s="78"/>
      <c r="Q434" s="6">
        <v>0.0</v>
      </c>
    </row>
    <row r="435" ht="12.0" customHeight="1">
      <c r="A435" s="22"/>
      <c r="B435" s="27" t="str">
        <f t="shared" si="65"/>
        <v>#REF!</v>
      </c>
      <c r="C435" s="27"/>
      <c r="D435" s="27"/>
      <c r="E435" s="27"/>
      <c r="F435" s="27"/>
      <c r="G435" s="27" t="s">
        <v>3512</v>
      </c>
      <c r="H435" s="27" t="str">
        <f t="shared" si="66"/>
        <v>#REF!</v>
      </c>
      <c r="I435" s="27" t="s">
        <v>3515</v>
      </c>
      <c r="J435" s="27" t="s">
        <v>3516</v>
      </c>
      <c r="K435" s="79" t="str">
        <f t="shared" si="67"/>
        <v>#REF!</v>
      </c>
      <c r="L435" s="27" t="s">
        <v>3515</v>
      </c>
      <c r="M435" s="27" t="str">
        <f t="shared" si="68"/>
        <v>};</v>
      </c>
      <c r="P435" s="78"/>
      <c r="Q435" s="6">
        <v>0.0</v>
      </c>
    </row>
    <row r="436" ht="12.0" customHeight="1">
      <c r="A436" s="22"/>
      <c r="B436" s="27" t="str">
        <f t="shared" si="65"/>
        <v>#REF!</v>
      </c>
      <c r="C436" s="27"/>
      <c r="D436" s="27"/>
      <c r="E436" s="27"/>
      <c r="F436" s="27"/>
      <c r="G436" s="27" t="s">
        <v>3512</v>
      </c>
      <c r="H436" s="27" t="str">
        <f t="shared" si="66"/>
        <v>#REF!</v>
      </c>
      <c r="I436" s="27" t="s">
        <v>3515</v>
      </c>
      <c r="J436" s="27" t="s">
        <v>3516</v>
      </c>
      <c r="K436" s="79" t="str">
        <f t="shared" si="67"/>
        <v>#REF!</v>
      </c>
      <c r="L436" s="27" t="s">
        <v>3515</v>
      </c>
      <c r="M436" s="27" t="str">
        <f t="shared" si="68"/>
        <v>};</v>
      </c>
      <c r="P436" s="78"/>
      <c r="Q436" s="6">
        <v>0.0</v>
      </c>
    </row>
    <row r="437" ht="12.0" customHeight="1">
      <c r="A437" s="22"/>
      <c r="B437" s="27" t="str">
        <f t="shared" si="65"/>
        <v>#REF!</v>
      </c>
      <c r="C437" s="27"/>
      <c r="D437" s="27"/>
      <c r="E437" s="27"/>
      <c r="F437" s="27"/>
      <c r="G437" s="27" t="s">
        <v>3512</v>
      </c>
      <c r="H437" s="27" t="str">
        <f t="shared" si="66"/>
        <v>#REF!</v>
      </c>
      <c r="I437" s="27" t="s">
        <v>3515</v>
      </c>
      <c r="J437" s="27" t="s">
        <v>3516</v>
      </c>
      <c r="K437" s="79" t="str">
        <f t="shared" si="67"/>
        <v>#REF!</v>
      </c>
      <c r="L437" s="27" t="s">
        <v>3515</v>
      </c>
      <c r="M437" s="27" t="str">
        <f t="shared" si="68"/>
        <v>};</v>
      </c>
      <c r="P437" s="78"/>
      <c r="Q437" s="6">
        <v>0.0</v>
      </c>
    </row>
    <row r="438" ht="12.0" customHeight="1">
      <c r="A438" s="22"/>
      <c r="B438" s="27" t="str">
        <f t="shared" si="65"/>
        <v>#REF!</v>
      </c>
      <c r="C438" s="27"/>
      <c r="D438" s="27"/>
      <c r="E438" s="27"/>
      <c r="F438" s="27"/>
      <c r="G438" s="27" t="s">
        <v>3512</v>
      </c>
      <c r="H438" s="27" t="str">
        <f t="shared" si="66"/>
        <v>#REF!</v>
      </c>
      <c r="I438" s="27" t="s">
        <v>3515</v>
      </c>
      <c r="J438" s="27" t="s">
        <v>3516</v>
      </c>
      <c r="K438" s="79" t="str">
        <f t="shared" si="67"/>
        <v>#REF!</v>
      </c>
      <c r="L438" s="27" t="s">
        <v>3515</v>
      </c>
      <c r="M438" s="27" t="str">
        <f t="shared" si="68"/>
        <v>};</v>
      </c>
      <c r="P438" s="78"/>
      <c r="Q438" s="6">
        <v>0.0</v>
      </c>
    </row>
    <row r="439" ht="12.0" customHeight="1">
      <c r="A439" s="22"/>
      <c r="B439" s="27" t="str">
        <f t="shared" si="65"/>
        <v>#REF!</v>
      </c>
      <c r="C439" s="27"/>
      <c r="D439" s="27"/>
      <c r="E439" s="27"/>
      <c r="F439" s="27"/>
      <c r="G439" s="27" t="s">
        <v>3512</v>
      </c>
      <c r="H439" s="27" t="str">
        <f t="shared" si="66"/>
        <v>#REF!</v>
      </c>
      <c r="I439" s="27" t="s">
        <v>3515</v>
      </c>
      <c r="J439" s="27" t="s">
        <v>3516</v>
      </c>
      <c r="K439" s="79" t="str">
        <f t="shared" si="67"/>
        <v>#REF!</v>
      </c>
      <c r="L439" s="27" t="s">
        <v>3515</v>
      </c>
      <c r="M439" s="27" t="str">
        <f t="shared" si="68"/>
        <v>};</v>
      </c>
      <c r="P439" s="78"/>
      <c r="Q439" s="6">
        <v>0.0</v>
      </c>
    </row>
    <row r="440" ht="12.0" customHeight="1">
      <c r="A440" s="22"/>
      <c r="B440" s="27" t="str">
        <f t="shared" si="65"/>
        <v>#REF!</v>
      </c>
      <c r="C440" s="27"/>
      <c r="D440" s="27"/>
      <c r="E440" s="27"/>
      <c r="F440" s="27"/>
      <c r="G440" s="27" t="s">
        <v>3512</v>
      </c>
      <c r="H440" s="27" t="str">
        <f t="shared" si="66"/>
        <v>#REF!</v>
      </c>
      <c r="I440" s="27" t="s">
        <v>3515</v>
      </c>
      <c r="J440" s="27" t="s">
        <v>3516</v>
      </c>
      <c r="K440" s="79" t="str">
        <f t="shared" si="67"/>
        <v>#REF!</v>
      </c>
      <c r="L440" s="27" t="s">
        <v>3515</v>
      </c>
      <c r="M440" s="27" t="str">
        <f t="shared" si="68"/>
        <v>};</v>
      </c>
      <c r="P440" s="78"/>
      <c r="Q440" s="6">
        <v>0.0</v>
      </c>
    </row>
    <row r="441" ht="12.0" customHeight="1">
      <c r="A441" s="22"/>
      <c r="B441" s="27" t="str">
        <f t="shared" si="65"/>
        <v>#REF!</v>
      </c>
      <c r="C441" s="27"/>
      <c r="D441" s="27"/>
      <c r="E441" s="27"/>
      <c r="F441" s="27"/>
      <c r="G441" s="27" t="s">
        <v>3512</v>
      </c>
      <c r="H441" s="27" t="str">
        <f t="shared" si="66"/>
        <v>#REF!</v>
      </c>
      <c r="I441" s="27" t="s">
        <v>3515</v>
      </c>
      <c r="J441" s="27" t="s">
        <v>3516</v>
      </c>
      <c r="K441" s="79" t="str">
        <f t="shared" si="67"/>
        <v>#REF!</v>
      </c>
      <c r="L441" s="27" t="s">
        <v>3515</v>
      </c>
      <c r="M441" s="27" t="str">
        <f t="shared" si="68"/>
        <v>};</v>
      </c>
      <c r="P441" s="78"/>
      <c r="Q441" s="6">
        <v>0.0</v>
      </c>
    </row>
    <row r="442" ht="12.0" customHeight="1">
      <c r="A442" s="22"/>
      <c r="B442" s="27" t="str">
        <f t="shared" si="65"/>
        <v>#REF!</v>
      </c>
      <c r="C442" s="27"/>
      <c r="D442" s="27"/>
      <c r="E442" s="27"/>
      <c r="F442" s="27"/>
      <c r="G442" s="27" t="s">
        <v>3512</v>
      </c>
      <c r="H442" s="27" t="str">
        <f t="shared" si="66"/>
        <v>#REF!</v>
      </c>
      <c r="I442" s="27" t="s">
        <v>3515</v>
      </c>
      <c r="J442" s="27" t="s">
        <v>3516</v>
      </c>
      <c r="K442" s="79" t="str">
        <f t="shared" si="67"/>
        <v>#REF!</v>
      </c>
      <c r="L442" s="27" t="s">
        <v>3515</v>
      </c>
      <c r="M442" s="27" t="str">
        <f t="shared" si="68"/>
        <v>};</v>
      </c>
      <c r="P442" s="78"/>
      <c r="Q442" s="6">
        <v>0.0</v>
      </c>
    </row>
    <row r="443" ht="12.0" customHeight="1">
      <c r="A443" s="22"/>
      <c r="B443" s="27" t="str">
        <f t="shared" si="65"/>
        <v>#REF!</v>
      </c>
      <c r="C443" s="27"/>
      <c r="D443" s="27"/>
      <c r="E443" s="27"/>
      <c r="F443" s="27"/>
      <c r="G443" s="27" t="s">
        <v>3512</v>
      </c>
      <c r="H443" s="27" t="str">
        <f t="shared" si="66"/>
        <v>#REF!</v>
      </c>
      <c r="I443" s="27" t="s">
        <v>3515</v>
      </c>
      <c r="J443" s="27" t="s">
        <v>3516</v>
      </c>
      <c r="K443" s="79" t="str">
        <f t="shared" si="67"/>
        <v>#REF!</v>
      </c>
      <c r="L443" s="27" t="s">
        <v>3515</v>
      </c>
      <c r="M443" s="27" t="str">
        <f t="shared" si="68"/>
        <v>};</v>
      </c>
      <c r="P443" s="78"/>
      <c r="Q443" s="6">
        <v>0.0</v>
      </c>
    </row>
    <row r="444" ht="12.0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P444" s="78"/>
    </row>
    <row r="445" ht="12.0" customHeight="1">
      <c r="A445" s="22"/>
      <c r="B445" s="27" t="s">
        <v>174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P445" s="78"/>
    </row>
    <row r="446" ht="12.0" customHeight="1">
      <c r="A446" s="22"/>
      <c r="B446" s="27" t="s">
        <v>3937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P446" s="78"/>
    </row>
    <row r="447" ht="12.0" customHeight="1">
      <c r="A447" s="22"/>
      <c r="B447" s="27" t="s">
        <v>174</v>
      </c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P447" s="78"/>
    </row>
    <row r="448" ht="12.0" customHeight="1">
      <c r="A448" s="22"/>
      <c r="B448" s="27" t="str">
        <f t="shared" ref="B448:B449" si="69">'Exile INPUT'!C428</f>
        <v>#REF!</v>
      </c>
      <c r="C448" s="27"/>
      <c r="D448" s="27"/>
      <c r="E448" s="27"/>
      <c r="F448" s="27"/>
      <c r="G448" s="27" t="s">
        <v>3512</v>
      </c>
      <c r="H448" s="27" t="str">
        <f t="shared" ref="H448:H449" si="70">'Exile INPUT'!D428</f>
        <v>#REF!</v>
      </c>
      <c r="I448" s="27" t="s">
        <v>3515</v>
      </c>
      <c r="J448" s="27" t="s">
        <v>3516</v>
      </c>
      <c r="K448" s="79" t="str">
        <f t="shared" ref="K448:K449" si="71">'Exile INPUT'!J428</f>
        <v>#REF!</v>
      </c>
      <c r="L448" s="27" t="s">
        <v>3515</v>
      </c>
      <c r="M448" s="27" t="str">
        <f t="shared" ref="M448:M449" si="72">IF(Q448 = 0, "};",CONCATENATE("sellPrice = ",Q448,"; };"))</f>
        <v>};</v>
      </c>
      <c r="P448" s="78"/>
      <c r="Q448" s="6">
        <v>0.0</v>
      </c>
    </row>
    <row r="449" ht="12.0" customHeight="1">
      <c r="A449" s="22"/>
      <c r="B449" s="27" t="str">
        <f t="shared" si="69"/>
        <v>#REF!</v>
      </c>
      <c r="C449" s="27"/>
      <c r="D449" s="27"/>
      <c r="E449" s="27"/>
      <c r="F449" s="27"/>
      <c r="G449" s="27" t="s">
        <v>3512</v>
      </c>
      <c r="H449" s="27" t="str">
        <f t="shared" si="70"/>
        <v>#REF!</v>
      </c>
      <c r="I449" s="27" t="s">
        <v>3515</v>
      </c>
      <c r="J449" s="27" t="s">
        <v>3516</v>
      </c>
      <c r="K449" s="79" t="str">
        <f t="shared" si="71"/>
        <v>#REF!</v>
      </c>
      <c r="L449" s="27" t="s">
        <v>3515</v>
      </c>
      <c r="M449" s="27" t="str">
        <f t="shared" si="72"/>
        <v>};</v>
      </c>
      <c r="P449" s="78"/>
      <c r="Q449" s="6">
        <v>0.0</v>
      </c>
    </row>
    <row r="450" ht="12.0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79"/>
      <c r="L450" s="27"/>
      <c r="M450" s="27"/>
      <c r="N450" s="27"/>
      <c r="O450" s="27"/>
      <c r="P450" s="90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2.0" customHeight="1">
      <c r="A451" s="22"/>
      <c r="B451" s="22" t="s">
        <v>174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P451" s="78"/>
    </row>
    <row r="452" ht="12.0" customHeight="1">
      <c r="A452" s="22"/>
      <c r="B452" s="22" t="s">
        <v>3938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P452" s="78"/>
    </row>
    <row r="453" ht="12.0" customHeight="1">
      <c r="A453" s="22"/>
      <c r="B453" s="22" t="s">
        <v>174</v>
      </c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P453" s="78"/>
    </row>
    <row r="454" ht="12.0" customHeight="1">
      <c r="A454" s="22"/>
      <c r="B454" s="27" t="str">
        <f t="shared" ref="B454:B461" si="73">'Exile INPUT'!C434</f>
        <v>#REF!</v>
      </c>
      <c r="C454" s="27"/>
      <c r="D454" s="27"/>
      <c r="E454" s="27"/>
      <c r="F454" s="27"/>
      <c r="G454" s="27" t="s">
        <v>3512</v>
      </c>
      <c r="H454" s="27" t="str">
        <f t="shared" ref="H454:H461" si="74">'Exile INPUT'!D434</f>
        <v>#REF!</v>
      </c>
      <c r="I454" s="27" t="s">
        <v>3515</v>
      </c>
      <c r="J454" s="27" t="s">
        <v>3516</v>
      </c>
      <c r="K454" s="79" t="str">
        <f t="shared" ref="K454:K461" si="75">'Exile INPUT'!J434</f>
        <v>#REF!</v>
      </c>
      <c r="L454" s="27" t="s">
        <v>3515</v>
      </c>
      <c r="M454" s="27" t="str">
        <f t="shared" ref="M454:M461" si="76">IF(Q454 = 0, "};",CONCATENATE("sellPrice = ",Q454,"; };"))</f>
        <v>};</v>
      </c>
      <c r="P454" s="78"/>
      <c r="Q454" s="6">
        <v>0.0</v>
      </c>
    </row>
    <row r="455" ht="12.0" customHeight="1">
      <c r="A455" s="22"/>
      <c r="B455" s="27" t="str">
        <f t="shared" si="73"/>
        <v>#REF!</v>
      </c>
      <c r="C455" s="27"/>
      <c r="D455" s="27"/>
      <c r="E455" s="27"/>
      <c r="F455" s="27"/>
      <c r="G455" s="27" t="s">
        <v>3512</v>
      </c>
      <c r="H455" s="27" t="str">
        <f t="shared" si="74"/>
        <v>#REF!</v>
      </c>
      <c r="I455" s="27" t="s">
        <v>3515</v>
      </c>
      <c r="J455" s="27" t="s">
        <v>3516</v>
      </c>
      <c r="K455" s="79" t="str">
        <f t="shared" si="75"/>
        <v>#REF!</v>
      </c>
      <c r="L455" s="27" t="s">
        <v>3515</v>
      </c>
      <c r="M455" s="27" t="str">
        <f t="shared" si="76"/>
        <v>};</v>
      </c>
      <c r="P455" s="78"/>
      <c r="Q455" s="6">
        <v>0.0</v>
      </c>
    </row>
    <row r="456" ht="12.0" customHeight="1">
      <c r="A456" s="22"/>
      <c r="B456" s="27" t="str">
        <f t="shared" si="73"/>
        <v>#REF!</v>
      </c>
      <c r="C456" s="27"/>
      <c r="D456" s="27"/>
      <c r="E456" s="27"/>
      <c r="F456" s="27"/>
      <c r="G456" s="27" t="s">
        <v>3512</v>
      </c>
      <c r="H456" s="27" t="str">
        <f t="shared" si="74"/>
        <v>#REF!</v>
      </c>
      <c r="I456" s="27" t="s">
        <v>3515</v>
      </c>
      <c r="J456" s="27" t="s">
        <v>3516</v>
      </c>
      <c r="K456" s="79" t="str">
        <f t="shared" si="75"/>
        <v>#REF!</v>
      </c>
      <c r="L456" s="27" t="s">
        <v>3515</v>
      </c>
      <c r="M456" s="27" t="str">
        <f t="shared" si="76"/>
        <v>};</v>
      </c>
      <c r="P456" s="78"/>
      <c r="Q456" s="6">
        <v>0.0</v>
      </c>
    </row>
    <row r="457" ht="12.0" customHeight="1">
      <c r="A457" s="22"/>
      <c r="B457" s="27" t="str">
        <f t="shared" si="73"/>
        <v>#REF!</v>
      </c>
      <c r="C457" s="27"/>
      <c r="D457" s="27"/>
      <c r="E457" s="27"/>
      <c r="F457" s="27"/>
      <c r="G457" s="27" t="s">
        <v>3512</v>
      </c>
      <c r="H457" s="27" t="str">
        <f t="shared" si="74"/>
        <v>#REF!</v>
      </c>
      <c r="I457" s="27" t="s">
        <v>3515</v>
      </c>
      <c r="J457" s="27" t="s">
        <v>3516</v>
      </c>
      <c r="K457" s="79" t="str">
        <f t="shared" si="75"/>
        <v>#REF!</v>
      </c>
      <c r="L457" s="27" t="s">
        <v>3515</v>
      </c>
      <c r="M457" s="27" t="str">
        <f t="shared" si="76"/>
        <v>};</v>
      </c>
      <c r="P457" s="78"/>
      <c r="Q457" s="6">
        <v>0.0</v>
      </c>
    </row>
    <row r="458" ht="12.0" customHeight="1">
      <c r="A458" s="22"/>
      <c r="B458" s="27" t="str">
        <f t="shared" si="73"/>
        <v>#REF!</v>
      </c>
      <c r="C458" s="27"/>
      <c r="D458" s="27"/>
      <c r="E458" s="27"/>
      <c r="F458" s="27"/>
      <c r="G458" s="27" t="s">
        <v>3512</v>
      </c>
      <c r="H458" s="27" t="str">
        <f t="shared" si="74"/>
        <v>#REF!</v>
      </c>
      <c r="I458" s="27" t="s">
        <v>3515</v>
      </c>
      <c r="J458" s="27" t="s">
        <v>3516</v>
      </c>
      <c r="K458" s="79" t="str">
        <f t="shared" si="75"/>
        <v>#REF!</v>
      </c>
      <c r="L458" s="27" t="s">
        <v>3515</v>
      </c>
      <c r="M458" s="27" t="str">
        <f t="shared" si="76"/>
        <v>};</v>
      </c>
      <c r="P458" s="78"/>
      <c r="Q458" s="6">
        <v>0.0</v>
      </c>
    </row>
    <row r="459" ht="12.0" customHeight="1">
      <c r="A459" s="22"/>
      <c r="B459" s="27" t="str">
        <f t="shared" si="73"/>
        <v>#REF!</v>
      </c>
      <c r="C459" s="27"/>
      <c r="D459" s="27"/>
      <c r="E459" s="27"/>
      <c r="F459" s="27"/>
      <c r="G459" s="27" t="s">
        <v>3512</v>
      </c>
      <c r="H459" s="27" t="str">
        <f t="shared" si="74"/>
        <v>#REF!</v>
      </c>
      <c r="I459" s="27" t="s">
        <v>3515</v>
      </c>
      <c r="J459" s="27" t="s">
        <v>3516</v>
      </c>
      <c r="K459" s="79" t="str">
        <f t="shared" si="75"/>
        <v>#REF!</v>
      </c>
      <c r="L459" s="27" t="s">
        <v>3515</v>
      </c>
      <c r="M459" s="27" t="str">
        <f t="shared" si="76"/>
        <v>};</v>
      </c>
      <c r="P459" s="78"/>
      <c r="Q459" s="6">
        <v>0.0</v>
      </c>
    </row>
    <row r="460" ht="12.0" customHeight="1">
      <c r="A460" s="22"/>
      <c r="B460" s="27" t="str">
        <f t="shared" si="73"/>
        <v>#REF!</v>
      </c>
      <c r="C460" s="27"/>
      <c r="D460" s="27"/>
      <c r="E460" s="27"/>
      <c r="F460" s="27"/>
      <c r="G460" s="27" t="s">
        <v>3512</v>
      </c>
      <c r="H460" s="27" t="str">
        <f t="shared" si="74"/>
        <v>#REF!</v>
      </c>
      <c r="I460" s="27" t="s">
        <v>3515</v>
      </c>
      <c r="J460" s="27" t="s">
        <v>3516</v>
      </c>
      <c r="K460" s="79" t="str">
        <f t="shared" si="75"/>
        <v>#REF!</v>
      </c>
      <c r="L460" s="27" t="s">
        <v>3515</v>
      </c>
      <c r="M460" s="27" t="str">
        <f t="shared" si="76"/>
        <v>};</v>
      </c>
      <c r="P460" s="78"/>
      <c r="Q460" s="6">
        <v>0.0</v>
      </c>
    </row>
    <row r="461" ht="12.0" customHeight="1">
      <c r="A461" s="22"/>
      <c r="B461" s="27" t="str">
        <f t="shared" si="73"/>
        <v>#REF!</v>
      </c>
      <c r="C461" s="27"/>
      <c r="D461" s="27"/>
      <c r="E461" s="27"/>
      <c r="F461" s="27"/>
      <c r="G461" s="27" t="s">
        <v>3512</v>
      </c>
      <c r="H461" s="27" t="str">
        <f t="shared" si="74"/>
        <v>#REF!</v>
      </c>
      <c r="I461" s="27" t="s">
        <v>3515</v>
      </c>
      <c r="J461" s="27" t="s">
        <v>3516</v>
      </c>
      <c r="K461" s="79" t="str">
        <f t="shared" si="75"/>
        <v>#REF!</v>
      </c>
      <c r="L461" s="27" t="s">
        <v>3515</v>
      </c>
      <c r="M461" s="27" t="str">
        <f t="shared" si="76"/>
        <v>};</v>
      </c>
      <c r="P461" s="78"/>
      <c r="Q461" s="6">
        <v>0.0</v>
      </c>
    </row>
    <row r="462" ht="12.0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P462" s="78"/>
    </row>
    <row r="463" ht="12.0" customHeight="1">
      <c r="A463" s="22"/>
      <c r="B463" s="22" t="s">
        <v>174</v>
      </c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P463" s="78"/>
    </row>
    <row r="464" ht="12.0" customHeight="1">
      <c r="A464" s="22"/>
      <c r="B464" s="22" t="s">
        <v>3939</v>
      </c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P464" s="78"/>
    </row>
    <row r="465" ht="12.0" customHeight="1">
      <c r="A465" s="22"/>
      <c r="B465" s="22" t="s">
        <v>174</v>
      </c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P465" s="78"/>
    </row>
    <row r="466" ht="12.0" customHeight="1">
      <c r="A466" s="22"/>
      <c r="B466" s="27" t="str">
        <f t="shared" ref="B466:B477" si="77">'Exile INPUT'!C446</f>
        <v>#REF!</v>
      </c>
      <c r="C466" s="27"/>
      <c r="D466" s="27"/>
      <c r="E466" s="27"/>
      <c r="F466" s="27"/>
      <c r="G466" s="27" t="s">
        <v>3512</v>
      </c>
      <c r="H466" s="27" t="str">
        <f t="shared" ref="H466:H477" si="78">'Exile INPUT'!E446</f>
        <v>#REF!</v>
      </c>
      <c r="I466" s="27" t="s">
        <v>3515</v>
      </c>
      <c r="J466" s="27" t="s">
        <v>3516</v>
      </c>
      <c r="K466" s="79" t="str">
        <f t="shared" ref="K466:K477" si="79">'Exile INPUT'!J446</f>
        <v>#REF!</v>
      </c>
      <c r="L466" s="27" t="s">
        <v>3515</v>
      </c>
      <c r="M466" s="27" t="str">
        <f t="shared" ref="M466:M477" si="80">IF(Q466 = 0, "};",CONCATENATE("sellPrice = ",Q466,"; };"))</f>
        <v>};</v>
      </c>
      <c r="P466" s="78"/>
      <c r="Q466" s="6">
        <v>0.0</v>
      </c>
    </row>
    <row r="467" ht="12.0" customHeight="1">
      <c r="A467" s="22"/>
      <c r="B467" s="27" t="str">
        <f t="shared" si="77"/>
        <v>#REF!</v>
      </c>
      <c r="C467" s="27"/>
      <c r="D467" s="27"/>
      <c r="E467" s="27"/>
      <c r="F467" s="27"/>
      <c r="G467" s="27" t="s">
        <v>3512</v>
      </c>
      <c r="H467" s="27" t="str">
        <f t="shared" si="78"/>
        <v>#REF!</v>
      </c>
      <c r="I467" s="27" t="s">
        <v>3515</v>
      </c>
      <c r="J467" s="27" t="s">
        <v>3516</v>
      </c>
      <c r="K467" s="79" t="str">
        <f t="shared" si="79"/>
        <v>#REF!</v>
      </c>
      <c r="L467" s="27" t="s">
        <v>3515</v>
      </c>
      <c r="M467" s="27" t="str">
        <f t="shared" si="80"/>
        <v>};</v>
      </c>
      <c r="P467" s="78"/>
      <c r="Q467" s="6">
        <v>0.0</v>
      </c>
    </row>
    <row r="468" ht="12.0" customHeight="1">
      <c r="A468" s="22"/>
      <c r="B468" s="27" t="str">
        <f t="shared" si="77"/>
        <v>#REF!</v>
      </c>
      <c r="C468" s="27"/>
      <c r="D468" s="27"/>
      <c r="E468" s="27"/>
      <c r="F468" s="27"/>
      <c r="G468" s="27" t="s">
        <v>3512</v>
      </c>
      <c r="H468" s="27" t="str">
        <f t="shared" si="78"/>
        <v>#REF!</v>
      </c>
      <c r="I468" s="27" t="s">
        <v>3515</v>
      </c>
      <c r="J468" s="27" t="s">
        <v>3516</v>
      </c>
      <c r="K468" s="79" t="str">
        <f t="shared" si="79"/>
        <v>#REF!</v>
      </c>
      <c r="L468" s="27" t="s">
        <v>3515</v>
      </c>
      <c r="M468" s="27" t="str">
        <f t="shared" si="80"/>
        <v>};</v>
      </c>
      <c r="P468" s="78"/>
      <c r="Q468" s="6">
        <v>0.0</v>
      </c>
    </row>
    <row r="469" ht="12.0" customHeight="1">
      <c r="A469" s="22"/>
      <c r="B469" s="27" t="str">
        <f t="shared" si="77"/>
        <v>#REF!</v>
      </c>
      <c r="C469" s="27"/>
      <c r="D469" s="27"/>
      <c r="E469" s="27"/>
      <c r="F469" s="27"/>
      <c r="G469" s="27" t="s">
        <v>3512</v>
      </c>
      <c r="H469" s="27" t="str">
        <f t="shared" si="78"/>
        <v>#REF!</v>
      </c>
      <c r="I469" s="27" t="s">
        <v>3515</v>
      </c>
      <c r="J469" s="27" t="s">
        <v>3516</v>
      </c>
      <c r="K469" s="79" t="str">
        <f t="shared" si="79"/>
        <v>#REF!</v>
      </c>
      <c r="L469" s="27" t="s">
        <v>3515</v>
      </c>
      <c r="M469" s="27" t="str">
        <f t="shared" si="80"/>
        <v>};</v>
      </c>
      <c r="P469" s="78"/>
      <c r="Q469" s="6">
        <v>0.0</v>
      </c>
    </row>
    <row r="470" ht="12.0" customHeight="1">
      <c r="A470" s="22"/>
      <c r="B470" s="27" t="str">
        <f t="shared" si="77"/>
        <v>#REF!</v>
      </c>
      <c r="C470" s="27"/>
      <c r="D470" s="27"/>
      <c r="E470" s="27"/>
      <c r="F470" s="27"/>
      <c r="G470" s="27" t="s">
        <v>3512</v>
      </c>
      <c r="H470" s="27" t="str">
        <f t="shared" si="78"/>
        <v>#REF!</v>
      </c>
      <c r="I470" s="27" t="s">
        <v>3515</v>
      </c>
      <c r="J470" s="27" t="s">
        <v>3516</v>
      </c>
      <c r="K470" s="79" t="str">
        <f t="shared" si="79"/>
        <v>#REF!</v>
      </c>
      <c r="L470" s="27" t="s">
        <v>3515</v>
      </c>
      <c r="M470" s="27" t="str">
        <f t="shared" si="80"/>
        <v>};</v>
      </c>
      <c r="P470" s="78"/>
      <c r="Q470" s="6">
        <v>0.0</v>
      </c>
    </row>
    <row r="471" ht="12.0" customHeight="1">
      <c r="A471" s="22"/>
      <c r="B471" s="27" t="str">
        <f t="shared" si="77"/>
        <v>#REF!</v>
      </c>
      <c r="C471" s="27"/>
      <c r="D471" s="27"/>
      <c r="E471" s="27"/>
      <c r="F471" s="27"/>
      <c r="G471" s="27" t="s">
        <v>3512</v>
      </c>
      <c r="H471" s="27" t="str">
        <f t="shared" si="78"/>
        <v>#REF!</v>
      </c>
      <c r="I471" s="27" t="s">
        <v>3515</v>
      </c>
      <c r="J471" s="27" t="s">
        <v>3516</v>
      </c>
      <c r="K471" s="79" t="str">
        <f t="shared" si="79"/>
        <v>#REF!</v>
      </c>
      <c r="L471" s="27" t="s">
        <v>3515</v>
      </c>
      <c r="M471" s="27" t="str">
        <f t="shared" si="80"/>
        <v>};</v>
      </c>
      <c r="P471" s="78"/>
      <c r="Q471" s="6">
        <v>0.0</v>
      </c>
    </row>
    <row r="472" ht="12.0" customHeight="1">
      <c r="A472" s="22"/>
      <c r="B472" s="27" t="str">
        <f t="shared" si="77"/>
        <v>#REF!</v>
      </c>
      <c r="C472" s="27"/>
      <c r="D472" s="27"/>
      <c r="E472" s="27"/>
      <c r="F472" s="27"/>
      <c r="G472" s="27" t="s">
        <v>3512</v>
      </c>
      <c r="H472" s="27" t="str">
        <f t="shared" si="78"/>
        <v>#REF!</v>
      </c>
      <c r="I472" s="27" t="s">
        <v>3515</v>
      </c>
      <c r="J472" s="27" t="s">
        <v>3516</v>
      </c>
      <c r="K472" s="79" t="str">
        <f t="shared" si="79"/>
        <v>#REF!</v>
      </c>
      <c r="L472" s="27" t="s">
        <v>3515</v>
      </c>
      <c r="M472" s="27" t="str">
        <f t="shared" si="80"/>
        <v>};</v>
      </c>
      <c r="P472" s="78"/>
      <c r="Q472" s="6">
        <v>0.0</v>
      </c>
    </row>
    <row r="473" ht="12.0" customHeight="1">
      <c r="A473" s="22"/>
      <c r="B473" s="27" t="str">
        <f t="shared" si="77"/>
        <v>#REF!</v>
      </c>
      <c r="C473" s="27"/>
      <c r="D473" s="27"/>
      <c r="E473" s="27"/>
      <c r="F473" s="27"/>
      <c r="G473" s="27" t="s">
        <v>3512</v>
      </c>
      <c r="H473" s="27" t="str">
        <f t="shared" si="78"/>
        <v>#REF!</v>
      </c>
      <c r="I473" s="27" t="s">
        <v>3515</v>
      </c>
      <c r="J473" s="27" t="s">
        <v>3516</v>
      </c>
      <c r="K473" s="79" t="str">
        <f t="shared" si="79"/>
        <v>#REF!</v>
      </c>
      <c r="L473" s="27" t="s">
        <v>3515</v>
      </c>
      <c r="M473" s="27" t="str">
        <f t="shared" si="80"/>
        <v>};</v>
      </c>
      <c r="P473" s="78"/>
      <c r="Q473" s="6">
        <v>0.0</v>
      </c>
    </row>
    <row r="474" ht="12.0" customHeight="1">
      <c r="A474" s="22"/>
      <c r="B474" s="27" t="str">
        <f t="shared" si="77"/>
        <v>#REF!</v>
      </c>
      <c r="C474" s="27"/>
      <c r="D474" s="27"/>
      <c r="E474" s="27"/>
      <c r="F474" s="27"/>
      <c r="G474" s="27" t="s">
        <v>3512</v>
      </c>
      <c r="H474" s="27" t="str">
        <f t="shared" si="78"/>
        <v>#REF!</v>
      </c>
      <c r="I474" s="27" t="s">
        <v>3515</v>
      </c>
      <c r="J474" s="27" t="s">
        <v>3516</v>
      </c>
      <c r="K474" s="79" t="str">
        <f t="shared" si="79"/>
        <v>#REF!</v>
      </c>
      <c r="L474" s="27" t="s">
        <v>3515</v>
      </c>
      <c r="M474" s="27" t="str">
        <f t="shared" si="80"/>
        <v>};</v>
      </c>
      <c r="P474" s="78"/>
      <c r="Q474" s="6">
        <v>0.0</v>
      </c>
    </row>
    <row r="475" ht="12.0" customHeight="1">
      <c r="A475" s="22"/>
      <c r="B475" s="27" t="str">
        <f t="shared" si="77"/>
        <v>#REF!</v>
      </c>
      <c r="C475" s="27"/>
      <c r="D475" s="27"/>
      <c r="E475" s="27"/>
      <c r="F475" s="27"/>
      <c r="G475" s="27" t="s">
        <v>3512</v>
      </c>
      <c r="H475" s="27" t="str">
        <f t="shared" si="78"/>
        <v>#REF!</v>
      </c>
      <c r="I475" s="27" t="s">
        <v>3515</v>
      </c>
      <c r="J475" s="27" t="s">
        <v>3516</v>
      </c>
      <c r="K475" s="79" t="str">
        <f t="shared" si="79"/>
        <v>#REF!</v>
      </c>
      <c r="L475" s="27" t="s">
        <v>3515</v>
      </c>
      <c r="M475" s="27" t="str">
        <f t="shared" si="80"/>
        <v>};</v>
      </c>
      <c r="P475" s="78"/>
      <c r="Q475" s="6">
        <v>0.0</v>
      </c>
    </row>
    <row r="476" ht="12.0" customHeight="1">
      <c r="A476" s="22"/>
      <c r="B476" s="27" t="str">
        <f t="shared" si="77"/>
        <v>#REF!</v>
      </c>
      <c r="C476" s="27"/>
      <c r="D476" s="27"/>
      <c r="E476" s="27"/>
      <c r="F476" s="27"/>
      <c r="G476" s="27" t="s">
        <v>3512</v>
      </c>
      <c r="H476" s="27" t="str">
        <f t="shared" si="78"/>
        <v>#REF!</v>
      </c>
      <c r="I476" s="27" t="s">
        <v>3515</v>
      </c>
      <c r="J476" s="27" t="s">
        <v>3516</v>
      </c>
      <c r="K476" s="79" t="str">
        <f t="shared" si="79"/>
        <v>#REF!</v>
      </c>
      <c r="L476" s="27" t="s">
        <v>3515</v>
      </c>
      <c r="M476" s="27" t="str">
        <f t="shared" si="80"/>
        <v>};</v>
      </c>
      <c r="P476" s="78"/>
      <c r="Q476" s="6">
        <v>0.0</v>
      </c>
    </row>
    <row r="477" ht="12.0" customHeight="1">
      <c r="A477" s="22"/>
      <c r="B477" s="27" t="str">
        <f t="shared" si="77"/>
        <v>#REF!</v>
      </c>
      <c r="C477" s="27"/>
      <c r="D477" s="27"/>
      <c r="E477" s="27"/>
      <c r="F477" s="27"/>
      <c r="G477" s="27" t="s">
        <v>3512</v>
      </c>
      <c r="H477" s="27" t="str">
        <f t="shared" si="78"/>
        <v>#REF!</v>
      </c>
      <c r="I477" s="27" t="s">
        <v>3515</v>
      </c>
      <c r="J477" s="27" t="s">
        <v>3516</v>
      </c>
      <c r="K477" s="79" t="str">
        <f t="shared" si="79"/>
        <v>#REF!</v>
      </c>
      <c r="L477" s="27" t="s">
        <v>3515</v>
      </c>
      <c r="M477" s="27" t="str">
        <f t="shared" si="80"/>
        <v>};</v>
      </c>
      <c r="P477" s="78"/>
      <c r="Q477" s="6">
        <v>0.0</v>
      </c>
    </row>
    <row r="478" ht="12.0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79"/>
      <c r="L478" s="27"/>
      <c r="M478" s="27"/>
      <c r="N478" s="27"/>
      <c r="O478" s="27"/>
      <c r="P478" s="90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2.0" customHeight="1">
      <c r="A479" s="22"/>
      <c r="B479" s="22" t="s">
        <v>174</v>
      </c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P479" s="78"/>
    </row>
    <row r="480" ht="12.0" customHeight="1">
      <c r="A480" s="22"/>
      <c r="B480" s="22" t="s">
        <v>3940</v>
      </c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P480" s="78"/>
    </row>
    <row r="481" ht="12.0" customHeight="1">
      <c r="A481" s="22"/>
      <c r="B481" s="22" t="s">
        <v>174</v>
      </c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P481" s="78"/>
    </row>
    <row r="482" ht="12.0" customHeight="1">
      <c r="A482" s="22"/>
      <c r="B482" s="27" t="str">
        <f t="shared" ref="B482:B483" si="81">'Exile INPUT'!C461</f>
        <v>#REF!</v>
      </c>
      <c r="C482" s="27"/>
      <c r="D482" s="27"/>
      <c r="E482" s="27"/>
      <c r="F482" s="27"/>
      <c r="G482" s="27" t="s">
        <v>3512</v>
      </c>
      <c r="H482" s="27" t="str">
        <f t="shared" ref="H482:H483" si="82">'Exile INPUT'!D461</f>
        <v>#REF!</v>
      </c>
      <c r="I482" s="27" t="s">
        <v>3515</v>
      </c>
      <c r="J482" s="27" t="s">
        <v>3516</v>
      </c>
      <c r="K482" s="79" t="str">
        <f t="shared" ref="K482:K483" si="83">'Exile INPUT'!J461</f>
        <v>#REF!</v>
      </c>
      <c r="L482" s="27" t="s">
        <v>3515</v>
      </c>
      <c r="M482" s="27" t="str">
        <f t="shared" ref="M482:M483" si="84">IF(Q482 = 0, "};",CONCATENATE("sellPrice = ",Q482,"; };"))</f>
        <v>};</v>
      </c>
      <c r="P482" s="78"/>
      <c r="Q482" s="6">
        <v>0.0</v>
      </c>
    </row>
    <row r="483" ht="12.0" customHeight="1">
      <c r="A483" s="22"/>
      <c r="B483" s="27" t="str">
        <f t="shared" si="81"/>
        <v>#REF!</v>
      </c>
      <c r="C483" s="27"/>
      <c r="D483" s="27"/>
      <c r="E483" s="27"/>
      <c r="F483" s="27"/>
      <c r="G483" s="27" t="s">
        <v>3512</v>
      </c>
      <c r="H483" s="27" t="str">
        <f t="shared" si="82"/>
        <v>#REF!</v>
      </c>
      <c r="I483" s="27" t="s">
        <v>3515</v>
      </c>
      <c r="J483" s="27" t="s">
        <v>3516</v>
      </c>
      <c r="K483" s="79" t="str">
        <f t="shared" si="83"/>
        <v>#REF!</v>
      </c>
      <c r="L483" s="27" t="s">
        <v>3515</v>
      </c>
      <c r="M483" s="27" t="str">
        <f t="shared" si="84"/>
        <v>};</v>
      </c>
      <c r="P483" s="78"/>
      <c r="Q483" s="6">
        <v>0.0</v>
      </c>
    </row>
    <row r="484" ht="12.0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P484" s="78"/>
    </row>
    <row r="485" ht="12.0" customHeight="1">
      <c r="A485" s="27"/>
      <c r="B485" s="22" t="s">
        <v>174</v>
      </c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90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2.0" customHeight="1">
      <c r="A486" s="22"/>
      <c r="B486" s="22" t="s">
        <v>3941</v>
      </c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P486" s="78"/>
    </row>
    <row r="487" ht="12.0" customHeight="1">
      <c r="A487" s="22"/>
      <c r="B487" s="22" t="s">
        <v>174</v>
      </c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P487" s="78"/>
    </row>
    <row r="488" ht="12.0" customHeight="1">
      <c r="A488" s="22"/>
      <c r="B488" s="27" t="str">
        <f t="shared" ref="B488:B490" si="85">'Exile INPUT'!C466</f>
        <v>#REF!</v>
      </c>
      <c r="C488" s="27"/>
      <c r="D488" s="27"/>
      <c r="E488" s="27"/>
      <c r="F488" s="27"/>
      <c r="G488" s="27" t="s">
        <v>3512</v>
      </c>
      <c r="H488" s="27" t="str">
        <f t="shared" ref="H488:H490" si="86">'Exile INPUT'!D466</f>
        <v>#REF!</v>
      </c>
      <c r="I488" s="27" t="s">
        <v>3515</v>
      </c>
      <c r="J488" s="27" t="s">
        <v>3516</v>
      </c>
      <c r="K488" s="79" t="str">
        <f t="shared" ref="K488:K490" si="87">'Exile INPUT'!J466</f>
        <v>#REF!</v>
      </c>
      <c r="L488" s="27" t="s">
        <v>3515</v>
      </c>
      <c r="M488" s="27" t="str">
        <f t="shared" ref="M488:M490" si="88">IF(Q488 = 0, "};",CONCATENATE("sellPrice = ",Q488,"; };"))</f>
        <v>};</v>
      </c>
      <c r="P488" s="78"/>
      <c r="Q488" s="6">
        <v>0.0</v>
      </c>
    </row>
    <row r="489" ht="12.0" customHeight="1">
      <c r="A489" s="22"/>
      <c r="B489" s="27" t="str">
        <f t="shared" si="85"/>
        <v>#REF!</v>
      </c>
      <c r="C489" s="27"/>
      <c r="D489" s="27"/>
      <c r="E489" s="27"/>
      <c r="F489" s="27"/>
      <c r="G489" s="27" t="s">
        <v>3512</v>
      </c>
      <c r="H489" s="27" t="str">
        <f t="shared" si="86"/>
        <v>#REF!</v>
      </c>
      <c r="I489" s="27" t="s">
        <v>3515</v>
      </c>
      <c r="J489" s="27" t="s">
        <v>3516</v>
      </c>
      <c r="K489" s="79" t="str">
        <f t="shared" si="87"/>
        <v>#REF!</v>
      </c>
      <c r="L489" s="27" t="s">
        <v>3515</v>
      </c>
      <c r="M489" s="27" t="str">
        <f t="shared" si="88"/>
        <v>};</v>
      </c>
      <c r="P489" s="78"/>
      <c r="Q489" s="6">
        <v>0.0</v>
      </c>
    </row>
    <row r="490" ht="12.0" customHeight="1">
      <c r="A490" s="27"/>
      <c r="B490" s="27" t="str">
        <f t="shared" si="85"/>
        <v>#REF!</v>
      </c>
      <c r="C490" s="27"/>
      <c r="D490" s="27"/>
      <c r="E490" s="27"/>
      <c r="F490" s="27"/>
      <c r="G490" s="27" t="s">
        <v>3512</v>
      </c>
      <c r="H490" s="27" t="str">
        <f t="shared" si="86"/>
        <v>#REF!</v>
      </c>
      <c r="I490" s="27" t="s">
        <v>3515</v>
      </c>
      <c r="J490" s="27" t="s">
        <v>3516</v>
      </c>
      <c r="K490" s="79" t="str">
        <f t="shared" si="87"/>
        <v>#REF!</v>
      </c>
      <c r="L490" s="27" t="s">
        <v>3515</v>
      </c>
      <c r="M490" s="27" t="str">
        <f t="shared" si="88"/>
        <v>};</v>
      </c>
      <c r="N490" s="27"/>
      <c r="O490" s="27"/>
      <c r="P490" s="90"/>
      <c r="Q490" s="6">
        <v>0.0</v>
      </c>
      <c r="R490" s="27"/>
      <c r="S490" s="27"/>
      <c r="T490" s="27"/>
      <c r="U490" s="27"/>
      <c r="V490" s="27"/>
      <c r="W490" s="27"/>
      <c r="X490" s="27"/>
      <c r="Y490" s="27"/>
      <c r="Z490" s="27"/>
    </row>
    <row r="491" ht="12.0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79"/>
      <c r="L491" s="27"/>
      <c r="M491" s="27"/>
      <c r="N491" s="27"/>
      <c r="O491" s="27"/>
      <c r="P491" s="90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2.0" customHeight="1">
      <c r="A492" s="22"/>
      <c r="B492" s="22" t="s">
        <v>174</v>
      </c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P492" s="78"/>
    </row>
    <row r="493" ht="12.0" customHeight="1">
      <c r="A493" s="22"/>
      <c r="B493" s="22" t="s">
        <v>3942</v>
      </c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P493" s="78"/>
    </row>
    <row r="494" ht="12.0" customHeight="1">
      <c r="A494" s="22"/>
      <c r="B494" s="22" t="s">
        <v>174</v>
      </c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P494" s="78"/>
    </row>
    <row r="495" ht="12.0" customHeight="1">
      <c r="A495" s="22"/>
      <c r="B495" s="27" t="str">
        <f t="shared" ref="B495:B505" si="89">'Exile INPUT'!C472</f>
        <v>#REF!</v>
      </c>
      <c r="C495" s="27"/>
      <c r="D495" s="27"/>
      <c r="E495" s="27"/>
      <c r="F495" s="27"/>
      <c r="G495" s="27" t="s">
        <v>3512</v>
      </c>
      <c r="H495" s="27" t="str">
        <f t="shared" ref="H495:H505" si="90">'Exile INPUT'!F472</f>
        <v>#REF!</v>
      </c>
      <c r="I495" s="27" t="s">
        <v>3515</v>
      </c>
      <c r="J495" s="27" t="s">
        <v>3516</v>
      </c>
      <c r="K495" s="79" t="str">
        <f t="shared" ref="K495:K505" si="91">'Exile INPUT'!J472</f>
        <v>#REF!</v>
      </c>
      <c r="L495" s="27" t="s">
        <v>3515</v>
      </c>
      <c r="M495" s="27" t="str">
        <f t="shared" ref="M495:M505" si="92">IF(Q495 = 0, "};",CONCATENATE("sellPrice = ",Q495,"; };"))</f>
        <v>};</v>
      </c>
      <c r="P495" s="78"/>
      <c r="Q495" s="6">
        <v>0.0</v>
      </c>
    </row>
    <row r="496" ht="12.0" customHeight="1">
      <c r="A496" s="22"/>
      <c r="B496" s="27" t="str">
        <f t="shared" si="89"/>
        <v>#REF!</v>
      </c>
      <c r="C496" s="27"/>
      <c r="D496" s="27"/>
      <c r="E496" s="27"/>
      <c r="F496" s="27"/>
      <c r="G496" s="27" t="s">
        <v>3512</v>
      </c>
      <c r="H496" s="27" t="str">
        <f t="shared" si="90"/>
        <v>#REF!</v>
      </c>
      <c r="I496" s="27" t="s">
        <v>3515</v>
      </c>
      <c r="J496" s="27" t="s">
        <v>3516</v>
      </c>
      <c r="K496" s="79" t="str">
        <f t="shared" si="91"/>
        <v>#REF!</v>
      </c>
      <c r="L496" s="27" t="s">
        <v>3515</v>
      </c>
      <c r="M496" s="27" t="str">
        <f t="shared" si="92"/>
        <v>};</v>
      </c>
      <c r="P496" s="78"/>
      <c r="Q496" s="6">
        <v>0.0</v>
      </c>
    </row>
    <row r="497" ht="12.0" customHeight="1">
      <c r="A497" s="22"/>
      <c r="B497" s="27" t="str">
        <f t="shared" si="89"/>
        <v>#REF!</v>
      </c>
      <c r="C497" s="27"/>
      <c r="D497" s="27"/>
      <c r="E497" s="27"/>
      <c r="F497" s="27"/>
      <c r="G497" s="27" t="s">
        <v>3512</v>
      </c>
      <c r="H497" s="27" t="str">
        <f t="shared" si="90"/>
        <v>#REF!</v>
      </c>
      <c r="I497" s="27" t="s">
        <v>3515</v>
      </c>
      <c r="J497" s="27" t="s">
        <v>3516</v>
      </c>
      <c r="K497" s="79" t="str">
        <f t="shared" si="91"/>
        <v>#REF!</v>
      </c>
      <c r="L497" s="27" t="s">
        <v>3515</v>
      </c>
      <c r="M497" s="27" t="str">
        <f t="shared" si="92"/>
        <v>};</v>
      </c>
      <c r="P497" s="78"/>
      <c r="Q497" s="6">
        <v>0.0</v>
      </c>
    </row>
    <row r="498" ht="12.0" customHeight="1">
      <c r="A498" s="22"/>
      <c r="B498" s="27" t="str">
        <f t="shared" si="89"/>
        <v>#REF!</v>
      </c>
      <c r="C498" s="27"/>
      <c r="D498" s="27"/>
      <c r="E498" s="27"/>
      <c r="F498" s="27"/>
      <c r="G498" s="27" t="s">
        <v>3512</v>
      </c>
      <c r="H498" s="27" t="str">
        <f t="shared" si="90"/>
        <v>#REF!</v>
      </c>
      <c r="I498" s="27" t="s">
        <v>3515</v>
      </c>
      <c r="J498" s="27" t="s">
        <v>3516</v>
      </c>
      <c r="K498" s="79" t="str">
        <f t="shared" si="91"/>
        <v>#REF!</v>
      </c>
      <c r="L498" s="27" t="s">
        <v>3515</v>
      </c>
      <c r="M498" s="27" t="str">
        <f t="shared" si="92"/>
        <v>};</v>
      </c>
      <c r="P498" s="78"/>
      <c r="Q498" s="6">
        <v>0.0</v>
      </c>
    </row>
    <row r="499" ht="12.0" customHeight="1">
      <c r="A499" s="22"/>
      <c r="B499" s="27" t="str">
        <f t="shared" si="89"/>
        <v>#REF!</v>
      </c>
      <c r="C499" s="27"/>
      <c r="D499" s="27"/>
      <c r="E499" s="27"/>
      <c r="F499" s="27"/>
      <c r="G499" s="27" t="s">
        <v>3512</v>
      </c>
      <c r="H499" s="27" t="str">
        <f t="shared" si="90"/>
        <v>#REF!</v>
      </c>
      <c r="I499" s="27" t="s">
        <v>3515</v>
      </c>
      <c r="J499" s="27" t="s">
        <v>3516</v>
      </c>
      <c r="K499" s="79" t="str">
        <f t="shared" si="91"/>
        <v>#REF!</v>
      </c>
      <c r="L499" s="27" t="s">
        <v>3515</v>
      </c>
      <c r="M499" s="27" t="str">
        <f t="shared" si="92"/>
        <v>};</v>
      </c>
      <c r="P499" s="78"/>
      <c r="Q499" s="6">
        <v>0.0</v>
      </c>
    </row>
    <row r="500" ht="12.0" customHeight="1">
      <c r="A500" s="22"/>
      <c r="B500" s="27" t="str">
        <f t="shared" si="89"/>
        <v>#REF!</v>
      </c>
      <c r="C500" s="27"/>
      <c r="D500" s="27"/>
      <c r="E500" s="27"/>
      <c r="F500" s="27"/>
      <c r="G500" s="27" t="s">
        <v>3512</v>
      </c>
      <c r="H500" s="27" t="str">
        <f t="shared" si="90"/>
        <v>#REF!</v>
      </c>
      <c r="I500" s="27" t="s">
        <v>3515</v>
      </c>
      <c r="J500" s="27" t="s">
        <v>3516</v>
      </c>
      <c r="K500" s="79" t="str">
        <f t="shared" si="91"/>
        <v>#REF!</v>
      </c>
      <c r="L500" s="27" t="s">
        <v>3515</v>
      </c>
      <c r="M500" s="27" t="str">
        <f t="shared" si="92"/>
        <v>};</v>
      </c>
      <c r="P500" s="78"/>
      <c r="Q500" s="6">
        <v>0.0</v>
      </c>
    </row>
    <row r="501" ht="12.0" customHeight="1">
      <c r="A501" s="22"/>
      <c r="B501" s="27" t="str">
        <f t="shared" si="89"/>
        <v>#REF!</v>
      </c>
      <c r="C501" s="27"/>
      <c r="D501" s="27"/>
      <c r="E501" s="27"/>
      <c r="F501" s="27"/>
      <c r="G501" s="27" t="s">
        <v>3512</v>
      </c>
      <c r="H501" s="27" t="str">
        <f t="shared" si="90"/>
        <v>#REF!</v>
      </c>
      <c r="I501" s="27" t="s">
        <v>3515</v>
      </c>
      <c r="J501" s="27" t="s">
        <v>3516</v>
      </c>
      <c r="K501" s="79" t="str">
        <f t="shared" si="91"/>
        <v>#REF!</v>
      </c>
      <c r="L501" s="27" t="s">
        <v>3515</v>
      </c>
      <c r="M501" s="27" t="str">
        <f t="shared" si="92"/>
        <v>};</v>
      </c>
      <c r="P501" s="78"/>
      <c r="Q501" s="6">
        <v>0.0</v>
      </c>
    </row>
    <row r="502" ht="12.0" customHeight="1">
      <c r="A502" s="22"/>
      <c r="B502" s="27" t="str">
        <f t="shared" si="89"/>
        <v>#REF!</v>
      </c>
      <c r="C502" s="27"/>
      <c r="D502" s="27"/>
      <c r="E502" s="27"/>
      <c r="F502" s="27"/>
      <c r="G502" s="27" t="s">
        <v>3512</v>
      </c>
      <c r="H502" s="27" t="str">
        <f t="shared" si="90"/>
        <v>#REF!</v>
      </c>
      <c r="I502" s="27" t="s">
        <v>3515</v>
      </c>
      <c r="J502" s="27" t="s">
        <v>3516</v>
      </c>
      <c r="K502" s="79" t="str">
        <f t="shared" si="91"/>
        <v>#REF!</v>
      </c>
      <c r="L502" s="27" t="s">
        <v>3515</v>
      </c>
      <c r="M502" s="27" t="str">
        <f t="shared" si="92"/>
        <v>};</v>
      </c>
      <c r="P502" s="78"/>
      <c r="Q502" s="6">
        <v>0.0</v>
      </c>
    </row>
    <row r="503" ht="12.0" customHeight="1">
      <c r="A503" s="22"/>
      <c r="B503" s="27" t="str">
        <f t="shared" si="89"/>
        <v>#REF!</v>
      </c>
      <c r="C503" s="27"/>
      <c r="D503" s="27"/>
      <c r="E503" s="27"/>
      <c r="F503" s="27"/>
      <c r="G503" s="27" t="s">
        <v>3512</v>
      </c>
      <c r="H503" s="27" t="str">
        <f t="shared" si="90"/>
        <v>#REF!</v>
      </c>
      <c r="I503" s="27" t="s">
        <v>3515</v>
      </c>
      <c r="J503" s="27" t="s">
        <v>3516</v>
      </c>
      <c r="K503" s="79" t="str">
        <f t="shared" si="91"/>
        <v>#REF!</v>
      </c>
      <c r="L503" s="27" t="s">
        <v>3515</v>
      </c>
      <c r="M503" s="27" t="str">
        <f t="shared" si="92"/>
        <v>};</v>
      </c>
      <c r="P503" s="78"/>
      <c r="Q503" s="6">
        <v>0.0</v>
      </c>
    </row>
    <row r="504" ht="12.0" customHeight="1">
      <c r="A504" s="22"/>
      <c r="B504" s="27" t="str">
        <f t="shared" si="89"/>
        <v>#REF!</v>
      </c>
      <c r="C504" s="27"/>
      <c r="D504" s="27"/>
      <c r="E504" s="27"/>
      <c r="F504" s="27"/>
      <c r="G504" s="27" t="s">
        <v>3512</v>
      </c>
      <c r="H504" s="27" t="str">
        <f t="shared" si="90"/>
        <v>#REF!</v>
      </c>
      <c r="I504" s="27" t="s">
        <v>3515</v>
      </c>
      <c r="J504" s="27" t="s">
        <v>3516</v>
      </c>
      <c r="K504" s="79" t="str">
        <f t="shared" si="91"/>
        <v>#REF!</v>
      </c>
      <c r="L504" s="27" t="s">
        <v>3515</v>
      </c>
      <c r="M504" s="27" t="str">
        <f t="shared" si="92"/>
        <v>};</v>
      </c>
      <c r="P504" s="78"/>
      <c r="Q504" s="6">
        <v>0.0</v>
      </c>
    </row>
    <row r="505" ht="12.0" customHeight="1">
      <c r="A505" s="22"/>
      <c r="B505" s="27" t="str">
        <f t="shared" si="89"/>
        <v>#REF!</v>
      </c>
      <c r="C505" s="27"/>
      <c r="D505" s="27"/>
      <c r="E505" s="27"/>
      <c r="F505" s="27"/>
      <c r="G505" s="27" t="s">
        <v>3512</v>
      </c>
      <c r="H505" s="27" t="str">
        <f t="shared" si="90"/>
        <v>#REF!</v>
      </c>
      <c r="I505" s="27" t="s">
        <v>3515</v>
      </c>
      <c r="J505" s="27" t="s">
        <v>3516</v>
      </c>
      <c r="K505" s="79" t="str">
        <f t="shared" si="91"/>
        <v>#REF!</v>
      </c>
      <c r="L505" s="27" t="s">
        <v>3515</v>
      </c>
      <c r="M505" s="27" t="str">
        <f t="shared" si="92"/>
        <v>};</v>
      </c>
      <c r="P505" s="78"/>
      <c r="Q505" s="6">
        <v>0.0</v>
      </c>
    </row>
    <row r="506" ht="12.0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P506" s="78"/>
    </row>
    <row r="507" ht="12.0" customHeight="1">
      <c r="A507" s="22"/>
      <c r="B507" s="27" t="s">
        <v>174</v>
      </c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P507" s="78"/>
    </row>
    <row r="508" ht="12.0" customHeight="1">
      <c r="A508" s="22"/>
      <c r="B508" s="60" t="s">
        <v>3943</v>
      </c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P508" s="78"/>
    </row>
    <row r="509" ht="12.0" customHeight="1">
      <c r="A509" s="22"/>
      <c r="B509" s="27" t="s">
        <v>174</v>
      </c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P509" s="78"/>
    </row>
    <row r="510" ht="12.0" customHeight="1">
      <c r="A510" s="22"/>
      <c r="B510" s="27" t="str">
        <f t="shared" ref="B510:B515" si="93">'Exile INPUT'!C486</f>
        <v>#REF!</v>
      </c>
      <c r="C510" s="27"/>
      <c r="D510" s="27"/>
      <c r="E510" s="27"/>
      <c r="F510" s="27"/>
      <c r="G510" s="27" t="s">
        <v>3512</v>
      </c>
      <c r="H510" s="27" t="str">
        <f t="shared" ref="H510:H515" si="94">'Exile INPUT'!F486</f>
        <v>#REF!</v>
      </c>
      <c r="I510" s="27" t="s">
        <v>3515</v>
      </c>
      <c r="J510" s="27" t="s">
        <v>3516</v>
      </c>
      <c r="K510" s="79" t="str">
        <f t="shared" ref="K510:K515" si="95">'Exile INPUT'!J486</f>
        <v>#REF!</v>
      </c>
      <c r="L510" s="27" t="s">
        <v>3515</v>
      </c>
      <c r="M510" s="27" t="str">
        <f t="shared" ref="M510:M516" si="96">IF(Q510 = 0, "};",CONCATENATE("sellPrice = ",Q510,"; };"))</f>
        <v>};</v>
      </c>
      <c r="P510" s="78"/>
      <c r="Q510" s="6">
        <v>0.0</v>
      </c>
    </row>
    <row r="511" ht="12.0" customHeight="1">
      <c r="A511" s="22"/>
      <c r="B511" s="27" t="str">
        <f t="shared" si="93"/>
        <v>#REF!</v>
      </c>
      <c r="C511" s="27"/>
      <c r="D511" s="27"/>
      <c r="E511" s="27"/>
      <c r="F511" s="27"/>
      <c r="G511" s="27" t="s">
        <v>3512</v>
      </c>
      <c r="H511" s="27" t="str">
        <f t="shared" si="94"/>
        <v>#REF!</v>
      </c>
      <c r="I511" s="27" t="s">
        <v>3515</v>
      </c>
      <c r="J511" s="27" t="s">
        <v>3516</v>
      </c>
      <c r="K511" s="79" t="str">
        <f t="shared" si="95"/>
        <v>#REF!</v>
      </c>
      <c r="L511" s="27" t="s">
        <v>3515</v>
      </c>
      <c r="M511" s="27" t="str">
        <f t="shared" si="96"/>
        <v>};</v>
      </c>
      <c r="P511" s="78"/>
      <c r="Q511" s="6">
        <v>0.0</v>
      </c>
    </row>
    <row r="512" ht="12.0" customHeight="1">
      <c r="A512" s="22"/>
      <c r="B512" s="27" t="str">
        <f t="shared" si="93"/>
        <v>#REF!</v>
      </c>
      <c r="C512" s="27"/>
      <c r="D512" s="27"/>
      <c r="E512" s="27"/>
      <c r="F512" s="27"/>
      <c r="G512" s="27" t="s">
        <v>3512</v>
      </c>
      <c r="H512" s="27" t="str">
        <f t="shared" si="94"/>
        <v>#REF!</v>
      </c>
      <c r="I512" s="27" t="s">
        <v>3515</v>
      </c>
      <c r="J512" s="27" t="s">
        <v>3516</v>
      </c>
      <c r="K512" s="79" t="str">
        <f t="shared" si="95"/>
        <v>#REF!</v>
      </c>
      <c r="L512" s="27" t="s">
        <v>3515</v>
      </c>
      <c r="M512" s="27" t="str">
        <f t="shared" si="96"/>
        <v>};</v>
      </c>
      <c r="P512" s="78"/>
      <c r="Q512" s="6">
        <v>0.0</v>
      </c>
    </row>
    <row r="513" ht="12.0" customHeight="1">
      <c r="A513" s="22"/>
      <c r="B513" s="27" t="str">
        <f t="shared" si="93"/>
        <v>#REF!</v>
      </c>
      <c r="C513" s="27"/>
      <c r="D513" s="27"/>
      <c r="E513" s="27"/>
      <c r="F513" s="27"/>
      <c r="G513" s="27" t="s">
        <v>3512</v>
      </c>
      <c r="H513" s="27" t="str">
        <f t="shared" si="94"/>
        <v>#REF!</v>
      </c>
      <c r="I513" s="27" t="s">
        <v>3515</v>
      </c>
      <c r="J513" s="27" t="s">
        <v>3516</v>
      </c>
      <c r="K513" s="79" t="str">
        <f t="shared" si="95"/>
        <v>#REF!</v>
      </c>
      <c r="L513" s="27" t="s">
        <v>3515</v>
      </c>
      <c r="M513" s="27" t="str">
        <f t="shared" si="96"/>
        <v>};</v>
      </c>
      <c r="P513" s="78"/>
      <c r="Q513" s="6">
        <v>0.0</v>
      </c>
    </row>
    <row r="514" ht="12.0" customHeight="1">
      <c r="A514" s="22"/>
      <c r="B514" s="27" t="str">
        <f t="shared" si="93"/>
        <v>#REF!</v>
      </c>
      <c r="C514" s="27"/>
      <c r="D514" s="27"/>
      <c r="E514" s="27"/>
      <c r="F514" s="27"/>
      <c r="G514" s="27" t="s">
        <v>3512</v>
      </c>
      <c r="H514" s="27" t="str">
        <f t="shared" si="94"/>
        <v>#REF!</v>
      </c>
      <c r="I514" s="27" t="s">
        <v>3515</v>
      </c>
      <c r="J514" s="27" t="s">
        <v>3516</v>
      </c>
      <c r="K514" s="79" t="str">
        <f t="shared" si="95"/>
        <v>#REF!</v>
      </c>
      <c r="L514" s="27" t="s">
        <v>3515</v>
      </c>
      <c r="M514" s="27" t="str">
        <f t="shared" si="96"/>
        <v>};</v>
      </c>
      <c r="P514" s="78"/>
      <c r="Q514" s="6">
        <v>0.0</v>
      </c>
    </row>
    <row r="515" ht="12.0" customHeight="1">
      <c r="A515" s="22"/>
      <c r="B515" s="27" t="str">
        <f t="shared" si="93"/>
        <v>#REF!</v>
      </c>
      <c r="C515" s="27"/>
      <c r="D515" s="27"/>
      <c r="E515" s="27"/>
      <c r="F515" s="27"/>
      <c r="G515" s="27" t="s">
        <v>3512</v>
      </c>
      <c r="H515" s="27" t="str">
        <f t="shared" si="94"/>
        <v>#REF!</v>
      </c>
      <c r="I515" s="27" t="s">
        <v>3515</v>
      </c>
      <c r="J515" s="27" t="s">
        <v>3516</v>
      </c>
      <c r="K515" s="79" t="str">
        <f t="shared" si="95"/>
        <v>#REF!</v>
      </c>
      <c r="L515" s="27" t="s">
        <v>3515</v>
      </c>
      <c r="M515" s="27" t="str">
        <f t="shared" si="96"/>
        <v>};</v>
      </c>
      <c r="P515" s="78"/>
      <c r="Q515" s="6">
        <v>0.0</v>
      </c>
    </row>
    <row r="516" ht="12.0" customHeight="1">
      <c r="A516" s="22"/>
      <c r="B516" s="27" t="str">
        <f>'Spartan Exile INPUT'!D492</f>
        <v>class Exile_Item_Grinder</v>
      </c>
      <c r="C516" s="27"/>
      <c r="D516" s="27"/>
      <c r="E516" s="27"/>
      <c r="F516" s="27"/>
      <c r="G516" s="27" t="s">
        <v>3512</v>
      </c>
      <c r="H516" s="27">
        <f>'Spartan Exile INPUT'!G492</f>
        <v>1</v>
      </c>
      <c r="I516" s="27" t="s">
        <v>3515</v>
      </c>
      <c r="J516" s="27" t="s">
        <v>3516</v>
      </c>
      <c r="K516" s="79">
        <f>'Spartan Exile INPUT'!K492</f>
        <v>500</v>
      </c>
      <c r="L516" s="27" t="s">
        <v>3515</v>
      </c>
      <c r="M516" s="27" t="str">
        <f t="shared" si="96"/>
        <v>};</v>
      </c>
      <c r="P516" s="78"/>
      <c r="Q516" s="6">
        <v>0.0</v>
      </c>
    </row>
    <row r="517" ht="12.0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P517" s="78"/>
    </row>
    <row r="518" ht="12.0" customHeight="1">
      <c r="A518" s="27"/>
      <c r="B518" s="27" t="s">
        <v>174</v>
      </c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90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2.0" customHeight="1">
      <c r="A519" s="22"/>
      <c r="B519" s="27" t="s">
        <v>3944</v>
      </c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P519" s="78"/>
    </row>
    <row r="520" ht="12.0" customHeight="1">
      <c r="A520" s="22"/>
      <c r="B520" s="27" t="s">
        <v>174</v>
      </c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P520" s="78"/>
    </row>
    <row r="521" ht="12.0" customHeight="1">
      <c r="A521" s="22"/>
      <c r="B521" s="27" t="str">
        <f t="shared" ref="B521:B536" si="97">'Exile INPUT'!C496</f>
        <v>#REF!</v>
      </c>
      <c r="C521" s="27"/>
      <c r="D521" s="27"/>
      <c r="E521" s="27"/>
      <c r="F521" s="27"/>
      <c r="G521" s="27" t="s">
        <v>3512</v>
      </c>
      <c r="H521" s="27" t="str">
        <f t="shared" ref="H521:H536" si="98">'Exile INPUT'!F496</f>
        <v>#REF!</v>
      </c>
      <c r="I521" s="27" t="s">
        <v>3515</v>
      </c>
      <c r="J521" s="27" t="s">
        <v>3516</v>
      </c>
      <c r="K521" s="79" t="str">
        <f t="shared" ref="K521:K536" si="99">'Exile INPUT'!J496</f>
        <v>#REF!</v>
      </c>
      <c r="L521" s="27" t="s">
        <v>3515</v>
      </c>
      <c r="M521" s="27" t="str">
        <f t="shared" ref="M521:M536" si="100">IF(Q521 = 0, "};",CONCATENATE("sellPrice = ",Q521,"; };"))</f>
        <v>};</v>
      </c>
      <c r="P521" s="78"/>
      <c r="Q521" s="6">
        <v>0.0</v>
      </c>
    </row>
    <row r="522" ht="12.0" customHeight="1">
      <c r="A522" s="22"/>
      <c r="B522" s="27" t="str">
        <f t="shared" si="97"/>
        <v>#REF!</v>
      </c>
      <c r="C522" s="27"/>
      <c r="D522" s="27"/>
      <c r="E522" s="27"/>
      <c r="F522" s="27"/>
      <c r="G522" s="27" t="s">
        <v>3512</v>
      </c>
      <c r="H522" s="27" t="str">
        <f t="shared" si="98"/>
        <v>#REF!</v>
      </c>
      <c r="I522" s="27" t="s">
        <v>3515</v>
      </c>
      <c r="J522" s="27" t="s">
        <v>3516</v>
      </c>
      <c r="K522" s="79" t="str">
        <f t="shared" si="99"/>
        <v>#REF!</v>
      </c>
      <c r="L522" s="27" t="s">
        <v>3515</v>
      </c>
      <c r="M522" s="27" t="str">
        <f t="shared" si="100"/>
        <v>};</v>
      </c>
      <c r="P522" s="78"/>
      <c r="Q522" s="6">
        <v>0.0</v>
      </c>
    </row>
    <row r="523" ht="12.0" customHeight="1">
      <c r="A523" s="22"/>
      <c r="B523" s="27" t="str">
        <f t="shared" si="97"/>
        <v>#REF!</v>
      </c>
      <c r="C523" s="27"/>
      <c r="D523" s="27"/>
      <c r="E523" s="27"/>
      <c r="F523" s="27"/>
      <c r="G523" s="27" t="s">
        <v>3512</v>
      </c>
      <c r="H523" s="27" t="str">
        <f t="shared" si="98"/>
        <v>#REF!</v>
      </c>
      <c r="I523" s="27" t="s">
        <v>3515</v>
      </c>
      <c r="J523" s="27" t="s">
        <v>3516</v>
      </c>
      <c r="K523" s="79" t="str">
        <f t="shared" si="99"/>
        <v>#REF!</v>
      </c>
      <c r="L523" s="27" t="s">
        <v>3515</v>
      </c>
      <c r="M523" s="27" t="str">
        <f t="shared" si="100"/>
        <v>};</v>
      </c>
      <c r="P523" s="78"/>
      <c r="Q523" s="6">
        <v>0.0</v>
      </c>
    </row>
    <row r="524" ht="12.0" customHeight="1">
      <c r="A524" s="22"/>
      <c r="B524" s="27" t="str">
        <f t="shared" si="97"/>
        <v>#REF!</v>
      </c>
      <c r="C524" s="27"/>
      <c r="D524" s="27"/>
      <c r="E524" s="27"/>
      <c r="F524" s="27"/>
      <c r="G524" s="27" t="s">
        <v>3512</v>
      </c>
      <c r="H524" s="27" t="str">
        <f t="shared" si="98"/>
        <v>#REF!</v>
      </c>
      <c r="I524" s="27" t="s">
        <v>3515</v>
      </c>
      <c r="J524" s="27" t="s">
        <v>3516</v>
      </c>
      <c r="K524" s="79" t="str">
        <f t="shared" si="99"/>
        <v>#REF!</v>
      </c>
      <c r="L524" s="27" t="s">
        <v>3515</v>
      </c>
      <c r="M524" s="27" t="str">
        <f t="shared" si="100"/>
        <v>};</v>
      </c>
      <c r="P524" s="78"/>
      <c r="Q524" s="6">
        <v>0.0</v>
      </c>
    </row>
    <row r="525" ht="12.0" customHeight="1">
      <c r="A525" s="22"/>
      <c r="B525" s="27" t="str">
        <f t="shared" si="97"/>
        <v>#REF!</v>
      </c>
      <c r="C525" s="27"/>
      <c r="D525" s="27"/>
      <c r="E525" s="27"/>
      <c r="F525" s="27"/>
      <c r="G525" s="27" t="s">
        <v>3512</v>
      </c>
      <c r="H525" s="27" t="str">
        <f t="shared" si="98"/>
        <v>#REF!</v>
      </c>
      <c r="I525" s="27" t="s">
        <v>3515</v>
      </c>
      <c r="J525" s="27" t="s">
        <v>3516</v>
      </c>
      <c r="K525" s="79" t="str">
        <f t="shared" si="99"/>
        <v>#REF!</v>
      </c>
      <c r="L525" s="27" t="s">
        <v>3515</v>
      </c>
      <c r="M525" s="27" t="str">
        <f t="shared" si="100"/>
        <v>};</v>
      </c>
      <c r="P525" s="78"/>
      <c r="Q525" s="6">
        <v>0.0</v>
      </c>
    </row>
    <row r="526" ht="12.0" customHeight="1">
      <c r="A526" s="22"/>
      <c r="B526" s="27" t="str">
        <f t="shared" si="97"/>
        <v>#REF!</v>
      </c>
      <c r="C526" s="27"/>
      <c r="D526" s="27"/>
      <c r="E526" s="27"/>
      <c r="F526" s="27"/>
      <c r="G526" s="27" t="s">
        <v>3512</v>
      </c>
      <c r="H526" s="27" t="str">
        <f t="shared" si="98"/>
        <v>#REF!</v>
      </c>
      <c r="I526" s="27" t="s">
        <v>3515</v>
      </c>
      <c r="J526" s="27" t="s">
        <v>3516</v>
      </c>
      <c r="K526" s="79" t="str">
        <f t="shared" si="99"/>
        <v>#REF!</v>
      </c>
      <c r="L526" s="27" t="s">
        <v>3515</v>
      </c>
      <c r="M526" s="27" t="str">
        <f t="shared" si="100"/>
        <v>};</v>
      </c>
      <c r="P526" s="78"/>
      <c r="Q526" s="6">
        <v>0.0</v>
      </c>
    </row>
    <row r="527" ht="12.0" customHeight="1">
      <c r="A527" s="22"/>
      <c r="B527" s="27" t="str">
        <f t="shared" si="97"/>
        <v>#REF!</v>
      </c>
      <c r="C527" s="27"/>
      <c r="D527" s="27"/>
      <c r="E527" s="27"/>
      <c r="F527" s="27"/>
      <c r="G527" s="27" t="s">
        <v>3512</v>
      </c>
      <c r="H527" s="27" t="str">
        <f t="shared" si="98"/>
        <v>#REF!</v>
      </c>
      <c r="I527" s="27" t="s">
        <v>3515</v>
      </c>
      <c r="J527" s="27" t="s">
        <v>3516</v>
      </c>
      <c r="K527" s="79" t="str">
        <f t="shared" si="99"/>
        <v>#REF!</v>
      </c>
      <c r="L527" s="27" t="s">
        <v>3515</v>
      </c>
      <c r="M527" s="27" t="str">
        <f t="shared" si="100"/>
        <v>};</v>
      </c>
      <c r="P527" s="78"/>
      <c r="Q527" s="6">
        <v>0.0</v>
      </c>
    </row>
    <row r="528" ht="12.0" customHeight="1">
      <c r="A528" s="22"/>
      <c r="B528" s="27" t="str">
        <f t="shared" si="97"/>
        <v>#REF!</v>
      </c>
      <c r="C528" s="27"/>
      <c r="D528" s="27"/>
      <c r="E528" s="27"/>
      <c r="F528" s="27"/>
      <c r="G528" s="27" t="s">
        <v>3512</v>
      </c>
      <c r="H528" s="27" t="str">
        <f t="shared" si="98"/>
        <v>#REF!</v>
      </c>
      <c r="I528" s="27" t="s">
        <v>3515</v>
      </c>
      <c r="J528" s="27" t="s">
        <v>3516</v>
      </c>
      <c r="K528" s="79" t="str">
        <f t="shared" si="99"/>
        <v>#REF!</v>
      </c>
      <c r="L528" s="27" t="s">
        <v>3515</v>
      </c>
      <c r="M528" s="27" t="str">
        <f t="shared" si="100"/>
        <v>};</v>
      </c>
      <c r="P528" s="78"/>
      <c r="Q528" s="6">
        <v>0.0</v>
      </c>
    </row>
    <row r="529" ht="12.0" customHeight="1">
      <c r="A529" s="22"/>
      <c r="B529" s="27" t="str">
        <f t="shared" si="97"/>
        <v>#REF!</v>
      </c>
      <c r="C529" s="27"/>
      <c r="D529" s="27"/>
      <c r="E529" s="27"/>
      <c r="F529" s="27"/>
      <c r="G529" s="27" t="s">
        <v>3512</v>
      </c>
      <c r="H529" s="27" t="str">
        <f t="shared" si="98"/>
        <v>#REF!</v>
      </c>
      <c r="I529" s="27" t="s">
        <v>3515</v>
      </c>
      <c r="J529" s="27" t="s">
        <v>3516</v>
      </c>
      <c r="K529" s="79" t="str">
        <f t="shared" si="99"/>
        <v>#REF!</v>
      </c>
      <c r="L529" s="27" t="s">
        <v>3515</v>
      </c>
      <c r="M529" s="27" t="str">
        <f t="shared" si="100"/>
        <v>};</v>
      </c>
      <c r="P529" s="78"/>
      <c r="Q529" s="6">
        <v>0.0</v>
      </c>
    </row>
    <row r="530" ht="12.0" customHeight="1">
      <c r="A530" s="22"/>
      <c r="B530" s="27" t="str">
        <f t="shared" si="97"/>
        <v>#REF!</v>
      </c>
      <c r="C530" s="27"/>
      <c r="D530" s="27"/>
      <c r="E530" s="27"/>
      <c r="F530" s="27"/>
      <c r="G530" s="27" t="s">
        <v>3512</v>
      </c>
      <c r="H530" s="27" t="str">
        <f t="shared" si="98"/>
        <v>#REF!</v>
      </c>
      <c r="I530" s="27" t="s">
        <v>3515</v>
      </c>
      <c r="J530" s="27" t="s">
        <v>3516</v>
      </c>
      <c r="K530" s="79" t="str">
        <f t="shared" si="99"/>
        <v>#REF!</v>
      </c>
      <c r="L530" s="27" t="s">
        <v>3515</v>
      </c>
      <c r="M530" s="27" t="str">
        <f t="shared" si="100"/>
        <v>};</v>
      </c>
      <c r="P530" s="78"/>
      <c r="Q530" s="6">
        <v>0.0</v>
      </c>
    </row>
    <row r="531" ht="12.0" customHeight="1">
      <c r="A531" s="22"/>
      <c r="B531" s="27" t="str">
        <f t="shared" si="97"/>
        <v>#REF!</v>
      </c>
      <c r="C531" s="27"/>
      <c r="D531" s="27"/>
      <c r="E531" s="27"/>
      <c r="F531" s="27"/>
      <c r="G531" s="27" t="s">
        <v>3512</v>
      </c>
      <c r="H531" s="27" t="str">
        <f t="shared" si="98"/>
        <v>#REF!</v>
      </c>
      <c r="I531" s="27" t="s">
        <v>3515</v>
      </c>
      <c r="J531" s="27" t="s">
        <v>3516</v>
      </c>
      <c r="K531" s="79" t="str">
        <f t="shared" si="99"/>
        <v>#REF!</v>
      </c>
      <c r="L531" s="27" t="s">
        <v>3515</v>
      </c>
      <c r="M531" s="27" t="str">
        <f t="shared" si="100"/>
        <v>};</v>
      </c>
      <c r="P531" s="78"/>
      <c r="Q531" s="6">
        <v>0.0</v>
      </c>
    </row>
    <row r="532" ht="12.0" customHeight="1">
      <c r="A532" s="22"/>
      <c r="B532" s="27" t="str">
        <f t="shared" si="97"/>
        <v>#REF!</v>
      </c>
      <c r="C532" s="27"/>
      <c r="D532" s="27"/>
      <c r="E532" s="27"/>
      <c r="F532" s="27"/>
      <c r="G532" s="27" t="s">
        <v>3512</v>
      </c>
      <c r="H532" s="27" t="str">
        <f t="shared" si="98"/>
        <v>#REF!</v>
      </c>
      <c r="I532" s="27" t="s">
        <v>3515</v>
      </c>
      <c r="J532" s="27" t="s">
        <v>3516</v>
      </c>
      <c r="K532" s="79" t="str">
        <f t="shared" si="99"/>
        <v>#REF!</v>
      </c>
      <c r="L532" s="27" t="s">
        <v>3515</v>
      </c>
      <c r="M532" s="27" t="str">
        <f t="shared" si="100"/>
        <v>};</v>
      </c>
      <c r="P532" s="78"/>
      <c r="Q532" s="6">
        <v>0.0</v>
      </c>
    </row>
    <row r="533" ht="12.0" customHeight="1">
      <c r="A533" s="22"/>
      <c r="B533" s="27" t="str">
        <f t="shared" si="97"/>
        <v>#REF!</v>
      </c>
      <c r="C533" s="27"/>
      <c r="D533" s="27"/>
      <c r="E533" s="27"/>
      <c r="F533" s="27"/>
      <c r="G533" s="27" t="s">
        <v>3512</v>
      </c>
      <c r="H533" s="27" t="str">
        <f t="shared" si="98"/>
        <v>#REF!</v>
      </c>
      <c r="I533" s="27" t="s">
        <v>3515</v>
      </c>
      <c r="J533" s="27" t="s">
        <v>3516</v>
      </c>
      <c r="K533" s="79" t="str">
        <f t="shared" si="99"/>
        <v>#REF!</v>
      </c>
      <c r="L533" s="27" t="s">
        <v>3515</v>
      </c>
      <c r="M533" s="27" t="str">
        <f t="shared" si="100"/>
        <v>};</v>
      </c>
      <c r="P533" s="78"/>
      <c r="Q533" s="6">
        <v>0.0</v>
      </c>
    </row>
    <row r="534" ht="12.0" customHeight="1">
      <c r="A534" s="22"/>
      <c r="B534" s="27" t="str">
        <f t="shared" si="97"/>
        <v>#REF!</v>
      </c>
      <c r="C534" s="27"/>
      <c r="D534" s="27"/>
      <c r="E534" s="27"/>
      <c r="F534" s="27"/>
      <c r="G534" s="27" t="s">
        <v>3512</v>
      </c>
      <c r="H534" s="27" t="str">
        <f t="shared" si="98"/>
        <v>#REF!</v>
      </c>
      <c r="I534" s="27" t="s">
        <v>3515</v>
      </c>
      <c r="J534" s="27" t="s">
        <v>3516</v>
      </c>
      <c r="K534" s="79" t="str">
        <f t="shared" si="99"/>
        <v>#REF!</v>
      </c>
      <c r="L534" s="27" t="s">
        <v>3515</v>
      </c>
      <c r="M534" s="27" t="str">
        <f t="shared" si="100"/>
        <v>};</v>
      </c>
      <c r="P534" s="78"/>
      <c r="Q534" s="6">
        <v>0.0</v>
      </c>
    </row>
    <row r="535" ht="12.0" customHeight="1">
      <c r="A535" s="22"/>
      <c r="B535" s="27" t="str">
        <f t="shared" si="97"/>
        <v>#REF!</v>
      </c>
      <c r="C535" s="27"/>
      <c r="D535" s="27"/>
      <c r="E535" s="27"/>
      <c r="F535" s="27"/>
      <c r="G535" s="27" t="s">
        <v>3512</v>
      </c>
      <c r="H535" s="27" t="str">
        <f t="shared" si="98"/>
        <v>#REF!</v>
      </c>
      <c r="I535" s="27" t="s">
        <v>3515</v>
      </c>
      <c r="J535" s="27" t="s">
        <v>3516</v>
      </c>
      <c r="K535" s="79" t="str">
        <f t="shared" si="99"/>
        <v>#REF!</v>
      </c>
      <c r="L535" s="27" t="s">
        <v>3515</v>
      </c>
      <c r="M535" s="27" t="str">
        <f t="shared" si="100"/>
        <v>};</v>
      </c>
      <c r="P535" s="78"/>
      <c r="Q535" s="6">
        <v>0.0</v>
      </c>
    </row>
    <row r="536" ht="12.0" customHeight="1">
      <c r="A536" s="22"/>
      <c r="B536" s="27" t="str">
        <f t="shared" si="97"/>
        <v>#REF!</v>
      </c>
      <c r="C536" s="27"/>
      <c r="D536" s="27"/>
      <c r="E536" s="27"/>
      <c r="F536" s="27"/>
      <c r="G536" s="27" t="s">
        <v>3512</v>
      </c>
      <c r="H536" s="27" t="str">
        <f t="shared" si="98"/>
        <v>#REF!</v>
      </c>
      <c r="I536" s="27" t="s">
        <v>3515</v>
      </c>
      <c r="J536" s="27" t="s">
        <v>3516</v>
      </c>
      <c r="K536" s="79" t="str">
        <f t="shared" si="99"/>
        <v>#REF!</v>
      </c>
      <c r="L536" s="27" t="s">
        <v>3515</v>
      </c>
      <c r="M536" s="27" t="str">
        <f t="shared" si="100"/>
        <v>sellPrice = 1; };</v>
      </c>
      <c r="P536" s="78"/>
      <c r="Q536" s="6">
        <v>1.0</v>
      </c>
    </row>
    <row r="537" ht="12.0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79"/>
      <c r="L537" s="27"/>
      <c r="M537" s="27"/>
      <c r="N537" s="27"/>
      <c r="O537" s="27"/>
      <c r="P537" s="90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2.0" customHeight="1">
      <c r="A538" s="22"/>
      <c r="B538" s="22" t="s">
        <v>174</v>
      </c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P538" s="78"/>
    </row>
    <row r="539" ht="12.0" customHeight="1">
      <c r="A539" s="22"/>
      <c r="B539" s="22" t="s">
        <v>3945</v>
      </c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P539" s="78"/>
    </row>
    <row r="540" ht="12.0" customHeight="1">
      <c r="A540" s="22"/>
      <c r="B540" s="22" t="s">
        <v>174</v>
      </c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P540" s="78"/>
    </row>
    <row r="541" ht="12.0" customHeight="1">
      <c r="A541" s="22"/>
      <c r="B541" s="27" t="str">
        <f t="shared" ref="B541:B547" si="101">'Exile INPUT'!C515</f>
        <v>#REF!</v>
      </c>
      <c r="C541" s="27"/>
      <c r="D541" s="27"/>
      <c r="E541" s="27"/>
      <c r="F541" s="27"/>
      <c r="G541" s="27" t="s">
        <v>3512</v>
      </c>
      <c r="H541" s="27" t="str">
        <f t="shared" ref="H541:H547" si="102">'Exile INPUT'!F515</f>
        <v>#REF!</v>
      </c>
      <c r="I541" s="27" t="s">
        <v>3515</v>
      </c>
      <c r="J541" s="27" t="s">
        <v>3516</v>
      </c>
      <c r="K541" s="79" t="str">
        <f t="shared" ref="K541:K547" si="103">'Exile INPUT'!J515</f>
        <v>#REF!</v>
      </c>
      <c r="L541" s="27" t="s">
        <v>3515</v>
      </c>
      <c r="M541" s="27" t="str">
        <f t="shared" ref="M541:M547" si="104">IF(Q541 = 0, "};",CONCATENATE("sellPrice = ",Q541,"; };"))</f>
        <v>};</v>
      </c>
      <c r="P541" s="78"/>
      <c r="Q541" s="6">
        <v>0.0</v>
      </c>
    </row>
    <row r="542" ht="12.0" customHeight="1">
      <c r="A542" s="22"/>
      <c r="B542" s="27" t="str">
        <f t="shared" si="101"/>
        <v>#REF!</v>
      </c>
      <c r="C542" s="27"/>
      <c r="D542" s="27"/>
      <c r="E542" s="27"/>
      <c r="F542" s="27"/>
      <c r="G542" s="27" t="s">
        <v>3512</v>
      </c>
      <c r="H542" s="27" t="str">
        <f t="shared" si="102"/>
        <v>#REF!</v>
      </c>
      <c r="I542" s="27" t="s">
        <v>3515</v>
      </c>
      <c r="J542" s="27" t="s">
        <v>3516</v>
      </c>
      <c r="K542" s="79" t="str">
        <f t="shared" si="103"/>
        <v>#REF!</v>
      </c>
      <c r="L542" s="27" t="s">
        <v>3515</v>
      </c>
      <c r="M542" s="27" t="str">
        <f t="shared" si="104"/>
        <v>};</v>
      </c>
      <c r="P542" s="78"/>
      <c r="Q542" s="6">
        <v>0.0</v>
      </c>
    </row>
    <row r="543" ht="12.0" customHeight="1">
      <c r="A543" s="22"/>
      <c r="B543" s="27" t="str">
        <f t="shared" si="101"/>
        <v>#REF!</v>
      </c>
      <c r="C543" s="27"/>
      <c r="D543" s="27"/>
      <c r="E543" s="27"/>
      <c r="F543" s="27"/>
      <c r="G543" s="27" t="s">
        <v>3512</v>
      </c>
      <c r="H543" s="27" t="str">
        <f t="shared" si="102"/>
        <v>#REF!</v>
      </c>
      <c r="I543" s="27" t="s">
        <v>3515</v>
      </c>
      <c r="J543" s="27" t="s">
        <v>3516</v>
      </c>
      <c r="K543" s="79" t="str">
        <f t="shared" si="103"/>
        <v>#REF!</v>
      </c>
      <c r="L543" s="27" t="s">
        <v>3515</v>
      </c>
      <c r="M543" s="27" t="str">
        <f t="shared" si="104"/>
        <v>};</v>
      </c>
      <c r="P543" s="78"/>
      <c r="Q543" s="6">
        <v>0.0</v>
      </c>
    </row>
    <row r="544" ht="12.0" customHeight="1">
      <c r="A544" s="22"/>
      <c r="B544" s="27" t="str">
        <f t="shared" si="101"/>
        <v>#REF!</v>
      </c>
      <c r="C544" s="27"/>
      <c r="D544" s="27"/>
      <c r="E544" s="27"/>
      <c r="F544" s="27"/>
      <c r="G544" s="27" t="s">
        <v>3512</v>
      </c>
      <c r="H544" s="27" t="str">
        <f t="shared" si="102"/>
        <v>#REF!</v>
      </c>
      <c r="I544" s="27" t="s">
        <v>3515</v>
      </c>
      <c r="J544" s="27" t="s">
        <v>3516</v>
      </c>
      <c r="K544" s="79" t="str">
        <f t="shared" si="103"/>
        <v>#REF!</v>
      </c>
      <c r="L544" s="27" t="s">
        <v>3515</v>
      </c>
      <c r="M544" s="27" t="str">
        <f t="shared" si="104"/>
        <v>};</v>
      </c>
      <c r="P544" s="78"/>
      <c r="Q544" s="6">
        <v>0.0</v>
      </c>
    </row>
    <row r="545" ht="12.0" customHeight="1">
      <c r="A545" s="22"/>
      <c r="B545" s="27" t="str">
        <f t="shared" si="101"/>
        <v>#REF!</v>
      </c>
      <c r="C545" s="27"/>
      <c r="D545" s="27"/>
      <c r="E545" s="27"/>
      <c r="F545" s="27"/>
      <c r="G545" s="27" t="s">
        <v>3512</v>
      </c>
      <c r="H545" s="27" t="str">
        <f t="shared" si="102"/>
        <v>#REF!</v>
      </c>
      <c r="I545" s="27" t="s">
        <v>3515</v>
      </c>
      <c r="J545" s="27" t="s">
        <v>3516</v>
      </c>
      <c r="K545" s="79" t="str">
        <f t="shared" si="103"/>
        <v>#REF!</v>
      </c>
      <c r="L545" s="27" t="s">
        <v>3515</v>
      </c>
      <c r="M545" s="27" t="str">
        <f t="shared" si="104"/>
        <v>};</v>
      </c>
      <c r="P545" s="78"/>
      <c r="Q545" s="6">
        <v>0.0</v>
      </c>
    </row>
    <row r="546" ht="12.0" customHeight="1">
      <c r="A546" s="22"/>
      <c r="B546" s="27" t="str">
        <f t="shared" si="101"/>
        <v>#REF!</v>
      </c>
      <c r="C546" s="27"/>
      <c r="D546" s="27"/>
      <c r="E546" s="27"/>
      <c r="F546" s="27"/>
      <c r="G546" s="27" t="s">
        <v>3512</v>
      </c>
      <c r="H546" s="27" t="str">
        <f t="shared" si="102"/>
        <v>#REF!</v>
      </c>
      <c r="I546" s="27" t="s">
        <v>3515</v>
      </c>
      <c r="J546" s="27" t="s">
        <v>3516</v>
      </c>
      <c r="K546" s="79" t="str">
        <f t="shared" si="103"/>
        <v>#REF!</v>
      </c>
      <c r="L546" s="27" t="s">
        <v>3515</v>
      </c>
      <c r="M546" s="27" t="str">
        <f t="shared" si="104"/>
        <v>};</v>
      </c>
      <c r="P546" s="78"/>
      <c r="Q546" s="6">
        <v>0.0</v>
      </c>
    </row>
    <row r="547" ht="12.0" customHeight="1">
      <c r="A547" s="22"/>
      <c r="B547" s="27" t="str">
        <f t="shared" si="101"/>
        <v>#REF!</v>
      </c>
      <c r="C547" s="27"/>
      <c r="D547" s="27"/>
      <c r="E547" s="27"/>
      <c r="F547" s="27"/>
      <c r="G547" s="27" t="s">
        <v>3512</v>
      </c>
      <c r="H547" s="27" t="str">
        <f t="shared" si="102"/>
        <v>#REF!</v>
      </c>
      <c r="I547" s="27" t="s">
        <v>3515</v>
      </c>
      <c r="J547" s="27" t="s">
        <v>3516</v>
      </c>
      <c r="K547" s="79" t="str">
        <f t="shared" si="103"/>
        <v>#REF!</v>
      </c>
      <c r="L547" s="27" t="s">
        <v>3515</v>
      </c>
      <c r="M547" s="27" t="str">
        <f t="shared" si="104"/>
        <v>sellPrice = 1; };</v>
      </c>
      <c r="P547" s="78"/>
      <c r="Q547" s="6">
        <v>1.0</v>
      </c>
    </row>
    <row r="548" ht="12.0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P548" s="78"/>
    </row>
    <row r="549" ht="12.0" customHeight="1">
      <c r="A549" s="22"/>
      <c r="B549" s="22" t="s">
        <v>174</v>
      </c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P549" s="78"/>
    </row>
    <row r="550" ht="12.0" customHeight="1">
      <c r="A550" s="22"/>
      <c r="B550" s="22" t="s">
        <v>3946</v>
      </c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P550" s="78"/>
    </row>
    <row r="551" ht="12.0" customHeight="1">
      <c r="A551" s="22"/>
      <c r="B551" s="22" t="s">
        <v>174</v>
      </c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P551" s="78"/>
    </row>
    <row r="552" ht="12.0" customHeight="1">
      <c r="A552" s="22"/>
      <c r="B552" s="27" t="str">
        <f t="shared" ref="B552:B555" si="105">'Exile INPUT'!C526</f>
        <v>#REF!</v>
      </c>
      <c r="C552" s="27"/>
      <c r="D552" s="27"/>
      <c r="E552" s="27"/>
      <c r="F552" s="27"/>
      <c r="G552" s="27" t="s">
        <v>3512</v>
      </c>
      <c r="H552" s="27" t="str">
        <f t="shared" ref="H552:H555" si="106">'Exile INPUT'!F526</f>
        <v>#REF!</v>
      </c>
      <c r="I552" s="27" t="s">
        <v>3515</v>
      </c>
      <c r="J552" s="27" t="s">
        <v>3516</v>
      </c>
      <c r="K552" s="79" t="str">
        <f t="shared" ref="K552:K555" si="107">'Exile INPUT'!J526</f>
        <v>#REF!</v>
      </c>
      <c r="L552" s="27" t="s">
        <v>3515</v>
      </c>
      <c r="M552" s="27" t="str">
        <f t="shared" ref="M552:M555" si="108">IF(Q552 = 0, "};",CONCATENATE("sellPrice = ",Q552,"; };"))</f>
        <v>};</v>
      </c>
      <c r="P552" s="78"/>
      <c r="Q552" s="6">
        <v>0.0</v>
      </c>
    </row>
    <row r="553" ht="12.0" customHeight="1">
      <c r="A553" s="22"/>
      <c r="B553" s="27" t="str">
        <f t="shared" si="105"/>
        <v>#REF!</v>
      </c>
      <c r="C553" s="27"/>
      <c r="D553" s="27"/>
      <c r="E553" s="27"/>
      <c r="F553" s="27"/>
      <c r="G553" s="27" t="s">
        <v>3512</v>
      </c>
      <c r="H553" s="27" t="str">
        <f t="shared" si="106"/>
        <v>#REF!</v>
      </c>
      <c r="I553" s="27" t="s">
        <v>3515</v>
      </c>
      <c r="J553" s="27" t="s">
        <v>3516</v>
      </c>
      <c r="K553" s="79" t="str">
        <f t="shared" si="107"/>
        <v>#REF!</v>
      </c>
      <c r="L553" s="27" t="s">
        <v>3515</v>
      </c>
      <c r="M553" s="27" t="str">
        <f t="shared" si="108"/>
        <v>};</v>
      </c>
      <c r="P553" s="78"/>
      <c r="Q553" s="6">
        <v>0.0</v>
      </c>
    </row>
    <row r="554" ht="12.0" customHeight="1">
      <c r="A554" s="22"/>
      <c r="B554" s="27" t="str">
        <f t="shared" si="105"/>
        <v>#REF!</v>
      </c>
      <c r="C554" s="27"/>
      <c r="D554" s="27"/>
      <c r="E554" s="27"/>
      <c r="F554" s="27"/>
      <c r="G554" s="27" t="s">
        <v>3512</v>
      </c>
      <c r="H554" s="27" t="str">
        <f t="shared" si="106"/>
        <v>#REF!</v>
      </c>
      <c r="I554" s="27" t="s">
        <v>3515</v>
      </c>
      <c r="J554" s="27" t="s">
        <v>3516</v>
      </c>
      <c r="K554" s="79" t="str">
        <f t="shared" si="107"/>
        <v>#REF!</v>
      </c>
      <c r="L554" s="27" t="s">
        <v>3515</v>
      </c>
      <c r="M554" s="27" t="str">
        <f t="shared" si="108"/>
        <v>};</v>
      </c>
      <c r="P554" s="78"/>
      <c r="Q554" s="6">
        <v>0.0</v>
      </c>
    </row>
    <row r="555" ht="12.0" customHeight="1">
      <c r="A555" s="22"/>
      <c r="B555" s="27" t="str">
        <f t="shared" si="105"/>
        <v>#REF!</v>
      </c>
      <c r="C555" s="27"/>
      <c r="D555" s="27"/>
      <c r="E555" s="27"/>
      <c r="F555" s="27"/>
      <c r="G555" s="27" t="s">
        <v>3512</v>
      </c>
      <c r="H555" s="27" t="str">
        <f t="shared" si="106"/>
        <v>#REF!</v>
      </c>
      <c r="I555" s="27" t="s">
        <v>3515</v>
      </c>
      <c r="J555" s="27" t="s">
        <v>3516</v>
      </c>
      <c r="K555" s="79" t="str">
        <f t="shared" si="107"/>
        <v>#REF!</v>
      </c>
      <c r="L555" s="27" t="s">
        <v>3515</v>
      </c>
      <c r="M555" s="27" t="str">
        <f t="shared" si="108"/>
        <v>};</v>
      </c>
      <c r="P555" s="78"/>
      <c r="Q555" s="6">
        <v>0.0</v>
      </c>
    </row>
    <row r="556" ht="12.0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79"/>
      <c r="L556" s="27"/>
      <c r="M556" s="27"/>
      <c r="N556" s="27"/>
      <c r="O556" s="27"/>
      <c r="P556" s="90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2.0" customHeight="1">
      <c r="A557" s="22"/>
      <c r="B557" s="22" t="s">
        <v>174</v>
      </c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P557" s="78"/>
    </row>
    <row r="558" ht="12.0" customHeight="1">
      <c r="A558" s="22"/>
      <c r="B558" s="22" t="s">
        <v>3947</v>
      </c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P558" s="78"/>
    </row>
    <row r="559" ht="12.0" customHeight="1">
      <c r="A559" s="22"/>
      <c r="B559" s="22" t="s">
        <v>174</v>
      </c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P559" s="78"/>
    </row>
    <row r="560" ht="12.0" customHeight="1">
      <c r="A560" s="22"/>
      <c r="B560" s="27" t="str">
        <f t="shared" ref="B560:B570" si="109">'Exile INPUT'!C533</f>
        <v>#REF!</v>
      </c>
      <c r="C560" s="27"/>
      <c r="D560" s="27"/>
      <c r="E560" s="27"/>
      <c r="F560" s="27"/>
      <c r="G560" s="27" t="s">
        <v>3512</v>
      </c>
      <c r="H560" s="27" t="str">
        <f t="shared" ref="H560:H570" si="110">'Exile INPUT'!F533</f>
        <v>#REF!</v>
      </c>
      <c r="I560" s="27" t="s">
        <v>3515</v>
      </c>
      <c r="J560" s="27" t="s">
        <v>3516</v>
      </c>
      <c r="K560" s="79" t="str">
        <f t="shared" ref="K560:K570" si="111">'Exile INPUT'!J533</f>
        <v>#REF!</v>
      </c>
      <c r="L560" s="27" t="s">
        <v>3515</v>
      </c>
      <c r="M560" s="27" t="str">
        <f t="shared" ref="M560:M570" si="112">IF(Q560 = 0, "};",CONCATENATE("sellPrice = ",Q560,"; };"))</f>
        <v>};</v>
      </c>
      <c r="P560" s="78"/>
      <c r="Q560" s="6">
        <v>0.0</v>
      </c>
    </row>
    <row r="561" ht="12.0" customHeight="1">
      <c r="A561" s="22"/>
      <c r="B561" s="27" t="str">
        <f t="shared" si="109"/>
        <v>#REF!</v>
      </c>
      <c r="C561" s="27"/>
      <c r="D561" s="27"/>
      <c r="E561" s="27"/>
      <c r="F561" s="27"/>
      <c r="G561" s="27" t="s">
        <v>3512</v>
      </c>
      <c r="H561" s="27" t="str">
        <f t="shared" si="110"/>
        <v>#REF!</v>
      </c>
      <c r="I561" s="27" t="s">
        <v>3515</v>
      </c>
      <c r="J561" s="27" t="s">
        <v>3516</v>
      </c>
      <c r="K561" s="79" t="str">
        <f t="shared" si="111"/>
        <v>#REF!</v>
      </c>
      <c r="L561" s="27" t="s">
        <v>3515</v>
      </c>
      <c r="M561" s="27" t="str">
        <f t="shared" si="112"/>
        <v>};</v>
      </c>
      <c r="P561" s="78"/>
      <c r="Q561" s="6">
        <v>0.0</v>
      </c>
    </row>
    <row r="562" ht="12.0" customHeight="1">
      <c r="A562" s="22"/>
      <c r="B562" s="27" t="str">
        <f t="shared" si="109"/>
        <v>#REF!</v>
      </c>
      <c r="C562" s="27"/>
      <c r="D562" s="27"/>
      <c r="E562" s="27"/>
      <c r="F562" s="27"/>
      <c r="G562" s="27" t="s">
        <v>3512</v>
      </c>
      <c r="H562" s="27" t="str">
        <f t="shared" si="110"/>
        <v>#REF!</v>
      </c>
      <c r="I562" s="27" t="s">
        <v>3515</v>
      </c>
      <c r="J562" s="27" t="s">
        <v>3516</v>
      </c>
      <c r="K562" s="79" t="str">
        <f t="shared" si="111"/>
        <v>#REF!</v>
      </c>
      <c r="L562" s="27" t="s">
        <v>3515</v>
      </c>
      <c r="M562" s="27" t="str">
        <f t="shared" si="112"/>
        <v>};</v>
      </c>
      <c r="P562" s="78"/>
      <c r="Q562" s="6">
        <v>0.0</v>
      </c>
    </row>
    <row r="563" ht="12.0" customHeight="1">
      <c r="A563" s="22"/>
      <c r="B563" s="27" t="str">
        <f t="shared" si="109"/>
        <v>#REF!</v>
      </c>
      <c r="C563" s="27"/>
      <c r="D563" s="27"/>
      <c r="E563" s="27"/>
      <c r="F563" s="27"/>
      <c r="G563" s="27" t="s">
        <v>3512</v>
      </c>
      <c r="H563" s="27" t="str">
        <f t="shared" si="110"/>
        <v>#REF!</v>
      </c>
      <c r="I563" s="27" t="s">
        <v>3515</v>
      </c>
      <c r="J563" s="27" t="s">
        <v>3516</v>
      </c>
      <c r="K563" s="79" t="str">
        <f t="shared" si="111"/>
        <v>#REF!</v>
      </c>
      <c r="L563" s="27" t="s">
        <v>3515</v>
      </c>
      <c r="M563" s="27" t="str">
        <f t="shared" si="112"/>
        <v>};</v>
      </c>
      <c r="P563" s="78"/>
      <c r="Q563" s="6">
        <v>0.0</v>
      </c>
    </row>
    <row r="564" ht="12.0" customHeight="1">
      <c r="A564" s="22"/>
      <c r="B564" s="27" t="str">
        <f t="shared" si="109"/>
        <v>#REF!</v>
      </c>
      <c r="C564" s="27"/>
      <c r="D564" s="27"/>
      <c r="E564" s="27"/>
      <c r="F564" s="27"/>
      <c r="G564" s="27" t="s">
        <v>3512</v>
      </c>
      <c r="H564" s="27" t="str">
        <f t="shared" si="110"/>
        <v>#REF!</v>
      </c>
      <c r="I564" s="27" t="s">
        <v>3515</v>
      </c>
      <c r="J564" s="27" t="s">
        <v>3516</v>
      </c>
      <c r="K564" s="79" t="str">
        <f t="shared" si="111"/>
        <v>#REF!</v>
      </c>
      <c r="L564" s="27" t="s">
        <v>3515</v>
      </c>
      <c r="M564" s="27" t="str">
        <f t="shared" si="112"/>
        <v>};</v>
      </c>
      <c r="P564" s="78"/>
      <c r="Q564" s="6">
        <v>0.0</v>
      </c>
    </row>
    <row r="565" ht="12.0" customHeight="1">
      <c r="A565" s="22"/>
      <c r="B565" s="27" t="str">
        <f t="shared" si="109"/>
        <v>#REF!</v>
      </c>
      <c r="C565" s="27"/>
      <c r="D565" s="27"/>
      <c r="E565" s="27"/>
      <c r="F565" s="27"/>
      <c r="G565" s="27" t="s">
        <v>3512</v>
      </c>
      <c r="H565" s="27" t="str">
        <f t="shared" si="110"/>
        <v>#REF!</v>
      </c>
      <c r="I565" s="27" t="s">
        <v>3515</v>
      </c>
      <c r="J565" s="27" t="s">
        <v>3516</v>
      </c>
      <c r="K565" s="79" t="str">
        <f t="shared" si="111"/>
        <v>#REF!</v>
      </c>
      <c r="L565" s="27" t="s">
        <v>3515</v>
      </c>
      <c r="M565" s="27" t="str">
        <f t="shared" si="112"/>
        <v>};</v>
      </c>
      <c r="P565" s="78"/>
      <c r="Q565" s="6">
        <v>0.0</v>
      </c>
    </row>
    <row r="566" ht="12.0" customHeight="1">
      <c r="A566" s="22"/>
      <c r="B566" s="27" t="str">
        <f t="shared" si="109"/>
        <v>#REF!</v>
      </c>
      <c r="C566" s="27"/>
      <c r="D566" s="27"/>
      <c r="E566" s="27"/>
      <c r="F566" s="27"/>
      <c r="G566" s="27" t="s">
        <v>3512</v>
      </c>
      <c r="H566" s="27" t="str">
        <f t="shared" si="110"/>
        <v>#REF!</v>
      </c>
      <c r="I566" s="27" t="s">
        <v>3515</v>
      </c>
      <c r="J566" s="27" t="s">
        <v>3516</v>
      </c>
      <c r="K566" s="79" t="str">
        <f t="shared" si="111"/>
        <v>#REF!</v>
      </c>
      <c r="L566" s="27" t="s">
        <v>3515</v>
      </c>
      <c r="M566" s="27" t="str">
        <f t="shared" si="112"/>
        <v>};</v>
      </c>
      <c r="P566" s="78"/>
      <c r="Q566" s="6">
        <v>0.0</v>
      </c>
    </row>
    <row r="567" ht="12.0" customHeight="1">
      <c r="A567" s="22"/>
      <c r="B567" s="27" t="str">
        <f t="shared" si="109"/>
        <v>#REF!</v>
      </c>
      <c r="C567" s="27"/>
      <c r="D567" s="27"/>
      <c r="E567" s="27"/>
      <c r="F567" s="27"/>
      <c r="G567" s="27" t="s">
        <v>3512</v>
      </c>
      <c r="H567" s="27" t="str">
        <f t="shared" si="110"/>
        <v>#REF!</v>
      </c>
      <c r="I567" s="27" t="s">
        <v>3515</v>
      </c>
      <c r="J567" s="27" t="s">
        <v>3516</v>
      </c>
      <c r="K567" s="79" t="str">
        <f t="shared" si="111"/>
        <v>#REF!</v>
      </c>
      <c r="L567" s="27" t="s">
        <v>3515</v>
      </c>
      <c r="M567" s="27" t="str">
        <f t="shared" si="112"/>
        <v>};</v>
      </c>
      <c r="P567" s="78"/>
      <c r="Q567" s="6">
        <v>0.0</v>
      </c>
    </row>
    <row r="568" ht="12.0" customHeight="1">
      <c r="A568" s="22"/>
      <c r="B568" s="27" t="str">
        <f t="shared" si="109"/>
        <v>#REF!</v>
      </c>
      <c r="C568" s="27"/>
      <c r="D568" s="27"/>
      <c r="E568" s="27"/>
      <c r="F568" s="27"/>
      <c r="G568" s="27" t="s">
        <v>3512</v>
      </c>
      <c r="H568" s="27" t="str">
        <f t="shared" si="110"/>
        <v>#REF!</v>
      </c>
      <c r="I568" s="27" t="s">
        <v>3515</v>
      </c>
      <c r="J568" s="27" t="s">
        <v>3516</v>
      </c>
      <c r="K568" s="79" t="str">
        <f t="shared" si="111"/>
        <v>#REF!</v>
      </c>
      <c r="L568" s="27" t="s">
        <v>3515</v>
      </c>
      <c r="M568" s="27" t="str">
        <f t="shared" si="112"/>
        <v>};</v>
      </c>
      <c r="P568" s="78"/>
      <c r="Q568" s="6">
        <v>0.0</v>
      </c>
    </row>
    <row r="569" ht="12.0" customHeight="1">
      <c r="A569" s="22"/>
      <c r="B569" s="27" t="str">
        <f t="shared" si="109"/>
        <v>#REF!</v>
      </c>
      <c r="C569" s="27"/>
      <c r="D569" s="27"/>
      <c r="E569" s="27"/>
      <c r="F569" s="27"/>
      <c r="G569" s="27" t="s">
        <v>3512</v>
      </c>
      <c r="H569" s="27" t="str">
        <f t="shared" si="110"/>
        <v>#REF!</v>
      </c>
      <c r="I569" s="27" t="s">
        <v>3515</v>
      </c>
      <c r="J569" s="27" t="s">
        <v>3516</v>
      </c>
      <c r="K569" s="79" t="str">
        <f t="shared" si="111"/>
        <v>#REF!</v>
      </c>
      <c r="L569" s="27" t="s">
        <v>3515</v>
      </c>
      <c r="M569" s="27" t="str">
        <f t="shared" si="112"/>
        <v>};</v>
      </c>
      <c r="P569" s="78"/>
      <c r="Q569" s="6">
        <v>0.0</v>
      </c>
    </row>
    <row r="570" ht="12.0" customHeight="1">
      <c r="A570" s="22"/>
      <c r="B570" s="27" t="str">
        <f t="shared" si="109"/>
        <v>#REF!</v>
      </c>
      <c r="C570" s="27"/>
      <c r="D570" s="27"/>
      <c r="E570" s="27"/>
      <c r="F570" s="27"/>
      <c r="G570" s="27" t="s">
        <v>3512</v>
      </c>
      <c r="H570" s="27" t="str">
        <f t="shared" si="110"/>
        <v>#REF!</v>
      </c>
      <c r="I570" s="27" t="s">
        <v>3515</v>
      </c>
      <c r="J570" s="27" t="s">
        <v>3516</v>
      </c>
      <c r="K570" s="79" t="str">
        <f t="shared" si="111"/>
        <v>#REF!</v>
      </c>
      <c r="L570" s="27" t="s">
        <v>3515</v>
      </c>
      <c r="M570" s="27" t="str">
        <f t="shared" si="112"/>
        <v>};</v>
      </c>
      <c r="P570" s="78"/>
      <c r="Q570" s="6">
        <v>0.0</v>
      </c>
    </row>
    <row r="571" ht="12.0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79"/>
      <c r="L571" s="27"/>
      <c r="M571" s="27"/>
      <c r="N571" s="27"/>
      <c r="O571" s="27"/>
      <c r="P571" s="90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2.0" customHeight="1">
      <c r="A572" s="22"/>
      <c r="B572" s="22" t="s">
        <v>174</v>
      </c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P572" s="78"/>
    </row>
    <row r="573" ht="12.0" customHeight="1">
      <c r="A573" s="22"/>
      <c r="B573" s="22" t="s">
        <v>3948</v>
      </c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P573" s="78"/>
    </row>
    <row r="574" ht="12.0" customHeight="1">
      <c r="A574" s="22"/>
      <c r="B574" s="22" t="s">
        <v>174</v>
      </c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P574" s="78"/>
    </row>
    <row r="575" ht="12.0" customHeight="1">
      <c r="A575" s="22"/>
      <c r="B575" s="27" t="str">
        <f t="shared" ref="B575:B577" si="113">'Exile INPUT'!C547</f>
        <v>#REF!</v>
      </c>
      <c r="C575" s="27"/>
      <c r="D575" s="27"/>
      <c r="E575" s="27"/>
      <c r="F575" s="27"/>
      <c r="G575" s="27" t="s">
        <v>3512</v>
      </c>
      <c r="H575" s="27" t="str">
        <f t="shared" ref="H575:H577" si="114">'Exile INPUT'!F547</f>
        <v>#REF!</v>
      </c>
      <c r="I575" s="27" t="s">
        <v>3515</v>
      </c>
      <c r="J575" s="27" t="s">
        <v>3516</v>
      </c>
      <c r="K575" s="79" t="str">
        <f t="shared" ref="K575:K577" si="115">'Exile INPUT'!J547</f>
        <v>#REF!</v>
      </c>
      <c r="L575" s="27" t="s">
        <v>3515</v>
      </c>
      <c r="M575" s="27" t="str">
        <f t="shared" ref="M575:M577" si="116">IF(Q575 = 0, "};",CONCATENATE("sellPrice = ",Q575,"; };"))</f>
        <v>};</v>
      </c>
      <c r="P575" s="78"/>
      <c r="Q575" s="6">
        <v>0.0</v>
      </c>
    </row>
    <row r="576" ht="12.0" customHeight="1">
      <c r="A576" s="22"/>
      <c r="B576" s="27" t="str">
        <f t="shared" si="113"/>
        <v>#REF!</v>
      </c>
      <c r="C576" s="27"/>
      <c r="D576" s="27"/>
      <c r="E576" s="27"/>
      <c r="F576" s="27"/>
      <c r="G576" s="27" t="s">
        <v>3512</v>
      </c>
      <c r="H576" s="27" t="str">
        <f t="shared" si="114"/>
        <v>#REF!</v>
      </c>
      <c r="I576" s="27" t="s">
        <v>3515</v>
      </c>
      <c r="J576" s="27" t="s">
        <v>3516</v>
      </c>
      <c r="K576" s="79" t="str">
        <f t="shared" si="115"/>
        <v>#REF!</v>
      </c>
      <c r="L576" s="27" t="s">
        <v>3515</v>
      </c>
      <c r="M576" s="27" t="str">
        <f t="shared" si="116"/>
        <v>};</v>
      </c>
      <c r="P576" s="78"/>
      <c r="Q576" s="6">
        <v>0.0</v>
      </c>
    </row>
    <row r="577" ht="12.0" customHeight="1">
      <c r="A577" s="22"/>
      <c r="B577" s="27" t="str">
        <f t="shared" si="113"/>
        <v>#REF!</v>
      </c>
      <c r="C577" s="27"/>
      <c r="D577" s="27"/>
      <c r="E577" s="27"/>
      <c r="F577" s="27"/>
      <c r="G577" s="27" t="s">
        <v>3512</v>
      </c>
      <c r="H577" s="27" t="str">
        <f t="shared" si="114"/>
        <v>#REF!</v>
      </c>
      <c r="I577" s="27" t="s">
        <v>3515</v>
      </c>
      <c r="J577" s="27" t="s">
        <v>3516</v>
      </c>
      <c r="K577" s="79" t="str">
        <f t="shared" si="115"/>
        <v>#REF!</v>
      </c>
      <c r="L577" s="27" t="s">
        <v>3515</v>
      </c>
      <c r="M577" s="27" t="str">
        <f t="shared" si="116"/>
        <v>};</v>
      </c>
      <c r="P577" s="78"/>
      <c r="Q577" s="6">
        <v>0.0</v>
      </c>
    </row>
    <row r="578" ht="12.0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79"/>
      <c r="L578" s="27"/>
      <c r="M578" s="27"/>
      <c r="N578" s="27"/>
      <c r="O578" s="27"/>
      <c r="P578" s="90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2.0" customHeight="1">
      <c r="A579" s="22"/>
      <c r="B579" s="22" t="s">
        <v>174</v>
      </c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P579" s="78"/>
    </row>
    <row r="580" ht="12.0" customHeight="1">
      <c r="A580" s="22"/>
      <c r="B580" s="22" t="s">
        <v>3949</v>
      </c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P580" s="78"/>
    </row>
    <row r="581" ht="12.0" customHeight="1">
      <c r="A581" s="22"/>
      <c r="B581" s="22" t="s">
        <v>174</v>
      </c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P581" s="78"/>
    </row>
    <row r="582" ht="12.0" customHeight="1">
      <c r="A582" s="22"/>
      <c r="B582" s="27" t="str">
        <f t="shared" ref="B582:B596" si="117">'Exile INPUT'!C553</f>
        <v>#REF!</v>
      </c>
      <c r="C582" s="27"/>
      <c r="D582" s="27"/>
      <c r="E582" s="27"/>
      <c r="F582" s="27"/>
      <c r="G582" s="27" t="s">
        <v>3512</v>
      </c>
      <c r="H582" s="27" t="str">
        <f t="shared" ref="H582:H596" si="118">'Exile INPUT'!F553</f>
        <v>#REF!</v>
      </c>
      <c r="I582" s="27" t="s">
        <v>3515</v>
      </c>
      <c r="J582" s="27" t="s">
        <v>3516</v>
      </c>
      <c r="K582" s="79" t="str">
        <f t="shared" ref="K582:K596" si="119">'Exile INPUT'!J553</f>
        <v>#REF!</v>
      </c>
      <c r="L582" s="27" t="s">
        <v>3515</v>
      </c>
      <c r="M582" s="27" t="str">
        <f t="shared" ref="M582:M596" si="120">IF(Q582 = 0, "};",CONCATENATE("sellPrice = ",Q582,"; };"))</f>
        <v>};</v>
      </c>
      <c r="P582" s="78"/>
      <c r="Q582" s="6">
        <v>0.0</v>
      </c>
    </row>
    <row r="583" ht="12.0" customHeight="1">
      <c r="A583" s="22"/>
      <c r="B583" s="27" t="str">
        <f t="shared" si="117"/>
        <v>#REF!</v>
      </c>
      <c r="C583" s="27"/>
      <c r="D583" s="27"/>
      <c r="E583" s="27"/>
      <c r="F583" s="27"/>
      <c r="G583" s="27" t="s">
        <v>3512</v>
      </c>
      <c r="H583" s="27" t="str">
        <f t="shared" si="118"/>
        <v>#REF!</v>
      </c>
      <c r="I583" s="27" t="s">
        <v>3515</v>
      </c>
      <c r="J583" s="27" t="s">
        <v>3516</v>
      </c>
      <c r="K583" s="79" t="str">
        <f t="shared" si="119"/>
        <v>#REF!</v>
      </c>
      <c r="L583" s="27" t="s">
        <v>3515</v>
      </c>
      <c r="M583" s="27" t="str">
        <f t="shared" si="120"/>
        <v>};</v>
      </c>
      <c r="P583" s="78"/>
      <c r="Q583" s="6">
        <v>0.0</v>
      </c>
    </row>
    <row r="584" ht="12.0" customHeight="1">
      <c r="A584" s="22"/>
      <c r="B584" s="27" t="str">
        <f t="shared" si="117"/>
        <v>#REF!</v>
      </c>
      <c r="C584" s="27"/>
      <c r="D584" s="27"/>
      <c r="E584" s="27"/>
      <c r="F584" s="27"/>
      <c r="G584" s="27" t="s">
        <v>3512</v>
      </c>
      <c r="H584" s="27" t="str">
        <f t="shared" si="118"/>
        <v>#REF!</v>
      </c>
      <c r="I584" s="27" t="s">
        <v>3515</v>
      </c>
      <c r="J584" s="27" t="s">
        <v>3516</v>
      </c>
      <c r="K584" s="79" t="str">
        <f t="shared" si="119"/>
        <v>#REF!</v>
      </c>
      <c r="L584" s="27" t="s">
        <v>3515</v>
      </c>
      <c r="M584" s="27" t="str">
        <f t="shared" si="120"/>
        <v>};</v>
      </c>
      <c r="P584" s="78"/>
      <c r="Q584" s="6">
        <v>0.0</v>
      </c>
    </row>
    <row r="585" ht="12.0" customHeight="1">
      <c r="A585" s="22"/>
      <c r="B585" s="27" t="str">
        <f t="shared" si="117"/>
        <v>#REF!</v>
      </c>
      <c r="C585" s="27"/>
      <c r="D585" s="27"/>
      <c r="E585" s="27"/>
      <c r="F585" s="27"/>
      <c r="G585" s="27" t="s">
        <v>3512</v>
      </c>
      <c r="H585" s="27" t="str">
        <f t="shared" si="118"/>
        <v>#REF!</v>
      </c>
      <c r="I585" s="27" t="s">
        <v>3515</v>
      </c>
      <c r="J585" s="27" t="s">
        <v>3516</v>
      </c>
      <c r="K585" s="79" t="str">
        <f t="shared" si="119"/>
        <v>#REF!</v>
      </c>
      <c r="L585" s="27" t="s">
        <v>3515</v>
      </c>
      <c r="M585" s="27" t="str">
        <f t="shared" si="120"/>
        <v>};</v>
      </c>
      <c r="P585" s="78"/>
      <c r="Q585" s="6">
        <v>0.0</v>
      </c>
    </row>
    <row r="586" ht="12.0" customHeight="1">
      <c r="A586" s="22"/>
      <c r="B586" s="27" t="str">
        <f t="shared" si="117"/>
        <v>#REF!</v>
      </c>
      <c r="C586" s="27"/>
      <c r="D586" s="27"/>
      <c r="E586" s="27"/>
      <c r="F586" s="27"/>
      <c r="G586" s="27" t="s">
        <v>3512</v>
      </c>
      <c r="H586" s="27" t="str">
        <f t="shared" si="118"/>
        <v>#REF!</v>
      </c>
      <c r="I586" s="27" t="s">
        <v>3515</v>
      </c>
      <c r="J586" s="27" t="s">
        <v>3516</v>
      </c>
      <c r="K586" s="79" t="str">
        <f t="shared" si="119"/>
        <v>#REF!</v>
      </c>
      <c r="L586" s="27" t="s">
        <v>3515</v>
      </c>
      <c r="M586" s="27" t="str">
        <f t="shared" si="120"/>
        <v>};</v>
      </c>
      <c r="P586" s="78"/>
      <c r="Q586" s="6">
        <v>0.0</v>
      </c>
    </row>
    <row r="587" ht="12.0" customHeight="1">
      <c r="A587" s="22"/>
      <c r="B587" s="27" t="str">
        <f t="shared" si="117"/>
        <v>#REF!</v>
      </c>
      <c r="C587" s="27"/>
      <c r="D587" s="27"/>
      <c r="E587" s="27"/>
      <c r="F587" s="27"/>
      <c r="G587" s="27" t="s">
        <v>3512</v>
      </c>
      <c r="H587" s="27" t="str">
        <f t="shared" si="118"/>
        <v>#REF!</v>
      </c>
      <c r="I587" s="27" t="s">
        <v>3515</v>
      </c>
      <c r="J587" s="27" t="s">
        <v>3516</v>
      </c>
      <c r="K587" s="79" t="str">
        <f t="shared" si="119"/>
        <v>#REF!</v>
      </c>
      <c r="L587" s="27" t="s">
        <v>3515</v>
      </c>
      <c r="M587" s="27" t="str">
        <f t="shared" si="120"/>
        <v>};</v>
      </c>
      <c r="P587" s="78"/>
      <c r="Q587" s="6">
        <v>0.0</v>
      </c>
    </row>
    <row r="588" ht="12.0" customHeight="1">
      <c r="A588" s="22"/>
      <c r="B588" s="27" t="str">
        <f t="shared" si="117"/>
        <v>#REF!</v>
      </c>
      <c r="C588" s="27"/>
      <c r="D588" s="27"/>
      <c r="E588" s="27"/>
      <c r="F588" s="27"/>
      <c r="G588" s="27" t="s">
        <v>3512</v>
      </c>
      <c r="H588" s="27" t="str">
        <f t="shared" si="118"/>
        <v>#REF!</v>
      </c>
      <c r="I588" s="27" t="s">
        <v>3515</v>
      </c>
      <c r="J588" s="27" t="s">
        <v>3516</v>
      </c>
      <c r="K588" s="79" t="str">
        <f t="shared" si="119"/>
        <v>#REF!</v>
      </c>
      <c r="L588" s="27" t="s">
        <v>3515</v>
      </c>
      <c r="M588" s="27" t="str">
        <f t="shared" si="120"/>
        <v>};</v>
      </c>
      <c r="P588" s="78"/>
      <c r="Q588" s="6">
        <v>0.0</v>
      </c>
    </row>
    <row r="589" ht="12.0" customHeight="1">
      <c r="A589" s="22"/>
      <c r="B589" s="27" t="str">
        <f t="shared" si="117"/>
        <v>#REF!</v>
      </c>
      <c r="C589" s="27"/>
      <c r="D589" s="27"/>
      <c r="E589" s="27"/>
      <c r="F589" s="27"/>
      <c r="G589" s="27" t="s">
        <v>3512</v>
      </c>
      <c r="H589" s="27" t="str">
        <f t="shared" si="118"/>
        <v>#REF!</v>
      </c>
      <c r="I589" s="27" t="s">
        <v>3515</v>
      </c>
      <c r="J589" s="27" t="s">
        <v>3516</v>
      </c>
      <c r="K589" s="79" t="str">
        <f t="shared" si="119"/>
        <v>#REF!</v>
      </c>
      <c r="L589" s="27" t="s">
        <v>3515</v>
      </c>
      <c r="M589" s="27" t="str">
        <f t="shared" si="120"/>
        <v>};</v>
      </c>
      <c r="P589" s="78"/>
      <c r="Q589" s="6">
        <v>0.0</v>
      </c>
    </row>
    <row r="590" ht="12.0" customHeight="1">
      <c r="A590" s="22"/>
      <c r="B590" s="27" t="str">
        <f t="shared" si="117"/>
        <v>#REF!</v>
      </c>
      <c r="C590" s="27"/>
      <c r="D590" s="27"/>
      <c r="E590" s="27"/>
      <c r="F590" s="27"/>
      <c r="G590" s="27" t="s">
        <v>3512</v>
      </c>
      <c r="H590" s="27" t="str">
        <f t="shared" si="118"/>
        <v>#REF!</v>
      </c>
      <c r="I590" s="27" t="s">
        <v>3515</v>
      </c>
      <c r="J590" s="27" t="s">
        <v>3516</v>
      </c>
      <c r="K590" s="79" t="str">
        <f t="shared" si="119"/>
        <v>#REF!</v>
      </c>
      <c r="L590" s="27" t="s">
        <v>3515</v>
      </c>
      <c r="M590" s="27" t="str">
        <f t="shared" si="120"/>
        <v>};</v>
      </c>
      <c r="P590" s="78"/>
      <c r="Q590" s="6">
        <v>0.0</v>
      </c>
    </row>
    <row r="591" ht="12.0" customHeight="1">
      <c r="A591" s="22"/>
      <c r="B591" s="27" t="str">
        <f t="shared" si="117"/>
        <v>#REF!</v>
      </c>
      <c r="C591" s="27"/>
      <c r="D591" s="27"/>
      <c r="E591" s="27"/>
      <c r="F591" s="27"/>
      <c r="G591" s="27" t="s">
        <v>3512</v>
      </c>
      <c r="H591" s="27" t="str">
        <f t="shared" si="118"/>
        <v>#REF!</v>
      </c>
      <c r="I591" s="27" t="s">
        <v>3515</v>
      </c>
      <c r="J591" s="27" t="s">
        <v>3516</v>
      </c>
      <c r="K591" s="79" t="str">
        <f t="shared" si="119"/>
        <v>#REF!</v>
      </c>
      <c r="L591" s="27" t="s">
        <v>3515</v>
      </c>
      <c r="M591" s="27" t="str">
        <f t="shared" si="120"/>
        <v>};</v>
      </c>
      <c r="P591" s="78"/>
      <c r="Q591" s="6">
        <v>0.0</v>
      </c>
    </row>
    <row r="592" ht="12.0" customHeight="1">
      <c r="A592" s="22"/>
      <c r="B592" s="27" t="str">
        <f t="shared" si="117"/>
        <v>#REF!</v>
      </c>
      <c r="C592" s="27"/>
      <c r="D592" s="27"/>
      <c r="E592" s="27"/>
      <c r="F592" s="27"/>
      <c r="G592" s="27" t="s">
        <v>3512</v>
      </c>
      <c r="H592" s="27" t="str">
        <f t="shared" si="118"/>
        <v>#REF!</v>
      </c>
      <c r="I592" s="27" t="s">
        <v>3515</v>
      </c>
      <c r="J592" s="27" t="s">
        <v>3516</v>
      </c>
      <c r="K592" s="79" t="str">
        <f t="shared" si="119"/>
        <v>#REF!</v>
      </c>
      <c r="L592" s="27" t="s">
        <v>3515</v>
      </c>
      <c r="M592" s="27" t="str">
        <f t="shared" si="120"/>
        <v>};</v>
      </c>
      <c r="P592" s="78"/>
      <c r="Q592" s="6">
        <v>0.0</v>
      </c>
    </row>
    <row r="593" ht="12.0" customHeight="1">
      <c r="A593" s="22"/>
      <c r="B593" s="27" t="str">
        <f t="shared" si="117"/>
        <v>#REF!</v>
      </c>
      <c r="C593" s="27"/>
      <c r="D593" s="27"/>
      <c r="E593" s="27"/>
      <c r="F593" s="27"/>
      <c r="G593" s="27" t="s">
        <v>3512</v>
      </c>
      <c r="H593" s="27" t="str">
        <f t="shared" si="118"/>
        <v>#REF!</v>
      </c>
      <c r="I593" s="27" t="s">
        <v>3515</v>
      </c>
      <c r="J593" s="27" t="s">
        <v>3516</v>
      </c>
      <c r="K593" s="79" t="str">
        <f t="shared" si="119"/>
        <v>#REF!</v>
      </c>
      <c r="L593" s="27" t="s">
        <v>3515</v>
      </c>
      <c r="M593" s="27" t="str">
        <f t="shared" si="120"/>
        <v>};</v>
      </c>
      <c r="P593" s="78"/>
      <c r="Q593" s="6">
        <v>0.0</v>
      </c>
    </row>
    <row r="594" ht="12.0" customHeight="1">
      <c r="A594" s="22"/>
      <c r="B594" s="27" t="str">
        <f t="shared" si="117"/>
        <v>#REF!</v>
      </c>
      <c r="C594" s="27"/>
      <c r="D594" s="27"/>
      <c r="E594" s="27"/>
      <c r="F594" s="27"/>
      <c r="G594" s="27" t="s">
        <v>3512</v>
      </c>
      <c r="H594" s="27" t="str">
        <f t="shared" si="118"/>
        <v>#REF!</v>
      </c>
      <c r="I594" s="27" t="s">
        <v>3515</v>
      </c>
      <c r="J594" s="27" t="s">
        <v>3516</v>
      </c>
      <c r="K594" s="79" t="str">
        <f t="shared" si="119"/>
        <v>#REF!</v>
      </c>
      <c r="L594" s="27" t="s">
        <v>3515</v>
      </c>
      <c r="M594" s="27" t="str">
        <f t="shared" si="120"/>
        <v>};</v>
      </c>
      <c r="P594" s="78"/>
      <c r="Q594" s="6">
        <v>0.0</v>
      </c>
    </row>
    <row r="595" ht="12.0" customHeight="1">
      <c r="A595" s="22"/>
      <c r="B595" s="27" t="str">
        <f t="shared" si="117"/>
        <v>#REF!</v>
      </c>
      <c r="C595" s="27"/>
      <c r="D595" s="27"/>
      <c r="E595" s="27"/>
      <c r="F595" s="27"/>
      <c r="G595" s="27" t="s">
        <v>3512</v>
      </c>
      <c r="H595" s="27" t="str">
        <f t="shared" si="118"/>
        <v>#REF!</v>
      </c>
      <c r="I595" s="27" t="s">
        <v>3515</v>
      </c>
      <c r="J595" s="27" t="s">
        <v>3516</v>
      </c>
      <c r="K595" s="79" t="str">
        <f t="shared" si="119"/>
        <v>#REF!</v>
      </c>
      <c r="L595" s="27" t="s">
        <v>3515</v>
      </c>
      <c r="M595" s="27" t="str">
        <f t="shared" si="120"/>
        <v>};</v>
      </c>
      <c r="P595" s="78"/>
      <c r="Q595" s="6">
        <v>0.0</v>
      </c>
    </row>
    <row r="596" ht="12.0" customHeight="1">
      <c r="A596" s="22"/>
      <c r="B596" s="27" t="str">
        <f t="shared" si="117"/>
        <v>#REF!</v>
      </c>
      <c r="C596" s="27"/>
      <c r="D596" s="27"/>
      <c r="E596" s="27"/>
      <c r="F596" s="27"/>
      <c r="G596" s="27" t="s">
        <v>3512</v>
      </c>
      <c r="H596" s="27" t="str">
        <f t="shared" si="118"/>
        <v>#REF!</v>
      </c>
      <c r="I596" s="27" t="s">
        <v>3515</v>
      </c>
      <c r="J596" s="27" t="s">
        <v>3516</v>
      </c>
      <c r="K596" s="79" t="str">
        <f t="shared" si="119"/>
        <v>#REF!</v>
      </c>
      <c r="L596" s="27" t="s">
        <v>3515</v>
      </c>
      <c r="M596" s="27" t="str">
        <f t="shared" si="120"/>
        <v>};</v>
      </c>
      <c r="P596" s="78"/>
      <c r="Q596" s="6">
        <v>0.0</v>
      </c>
    </row>
    <row r="597" ht="12.0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79"/>
      <c r="L597" s="27"/>
      <c r="M597" s="27"/>
      <c r="N597" s="27"/>
      <c r="O597" s="27"/>
      <c r="P597" s="90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2.0" customHeight="1">
      <c r="A598" s="22"/>
      <c r="B598" s="22" t="s">
        <v>174</v>
      </c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P598" s="78"/>
    </row>
    <row r="599" ht="12.0" customHeight="1">
      <c r="A599" s="22"/>
      <c r="B599" s="22" t="s">
        <v>3950</v>
      </c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P599" s="78"/>
    </row>
    <row r="600" ht="12.0" customHeight="1">
      <c r="A600" s="22"/>
      <c r="B600" s="22" t="s">
        <v>174</v>
      </c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P600" s="78"/>
    </row>
    <row r="601" ht="12.0" customHeight="1">
      <c r="A601" s="22"/>
      <c r="B601" s="27" t="str">
        <f t="shared" ref="B601:B621" si="121">'Exile INPUT'!C571</f>
        <v>#REF!</v>
      </c>
      <c r="C601" s="27"/>
      <c r="D601" s="27"/>
      <c r="E601" s="27"/>
      <c r="F601" s="27"/>
      <c r="G601" s="27" t="s">
        <v>3512</v>
      </c>
      <c r="H601" s="27" t="str">
        <f t="shared" ref="H601:H621" si="122">'Exile INPUT'!F571</f>
        <v>#REF!</v>
      </c>
      <c r="I601" s="27" t="s">
        <v>3515</v>
      </c>
      <c r="J601" s="27" t="s">
        <v>3516</v>
      </c>
      <c r="K601" s="79" t="str">
        <f t="shared" ref="K601:K621" si="123">'Exile INPUT'!J571</f>
        <v>#REF!</v>
      </c>
      <c r="L601" s="27" t="s">
        <v>3515</v>
      </c>
      <c r="M601" s="27" t="str">
        <f t="shared" ref="M601:M621" si="124">IF(Q601 = 0, "};",CONCATENATE("sellPrice = ",Q601,"; };"))</f>
        <v>};</v>
      </c>
      <c r="P601" s="78"/>
      <c r="Q601" s="6">
        <v>0.0</v>
      </c>
    </row>
    <row r="602" ht="12.0" customHeight="1">
      <c r="A602" s="22"/>
      <c r="B602" s="27" t="str">
        <f t="shared" si="121"/>
        <v>#REF!</v>
      </c>
      <c r="C602" s="27"/>
      <c r="D602" s="27"/>
      <c r="E602" s="27"/>
      <c r="F602" s="27"/>
      <c r="G602" s="27" t="s">
        <v>3512</v>
      </c>
      <c r="H602" s="27" t="str">
        <f t="shared" si="122"/>
        <v>#REF!</v>
      </c>
      <c r="I602" s="27" t="s">
        <v>3515</v>
      </c>
      <c r="J602" s="27" t="s">
        <v>3516</v>
      </c>
      <c r="K602" s="79" t="str">
        <f t="shared" si="123"/>
        <v>#REF!</v>
      </c>
      <c r="L602" s="27" t="s">
        <v>3515</v>
      </c>
      <c r="M602" s="27" t="str">
        <f t="shared" si="124"/>
        <v>};</v>
      </c>
      <c r="P602" s="78"/>
      <c r="Q602" s="6">
        <v>0.0</v>
      </c>
    </row>
    <row r="603" ht="12.0" customHeight="1">
      <c r="A603" s="22"/>
      <c r="B603" s="27" t="str">
        <f t="shared" si="121"/>
        <v>#REF!</v>
      </c>
      <c r="C603" s="27"/>
      <c r="D603" s="27"/>
      <c r="E603" s="27"/>
      <c r="F603" s="27"/>
      <c r="G603" s="27" t="s">
        <v>3512</v>
      </c>
      <c r="H603" s="27" t="str">
        <f t="shared" si="122"/>
        <v>#REF!</v>
      </c>
      <c r="I603" s="27" t="s">
        <v>3515</v>
      </c>
      <c r="J603" s="27" t="s">
        <v>3516</v>
      </c>
      <c r="K603" s="79" t="str">
        <f t="shared" si="123"/>
        <v>#REF!</v>
      </c>
      <c r="L603" s="27" t="s">
        <v>3515</v>
      </c>
      <c r="M603" s="27" t="str">
        <f t="shared" si="124"/>
        <v>};</v>
      </c>
      <c r="P603" s="78"/>
      <c r="Q603" s="6">
        <v>0.0</v>
      </c>
    </row>
    <row r="604" ht="12.0" customHeight="1">
      <c r="A604" s="22"/>
      <c r="B604" s="27" t="str">
        <f t="shared" si="121"/>
        <v>#REF!</v>
      </c>
      <c r="C604" s="27"/>
      <c r="D604" s="27"/>
      <c r="E604" s="27"/>
      <c r="F604" s="27"/>
      <c r="G604" s="27" t="s">
        <v>3512</v>
      </c>
      <c r="H604" s="27" t="str">
        <f t="shared" si="122"/>
        <v>#REF!</v>
      </c>
      <c r="I604" s="27" t="s">
        <v>3515</v>
      </c>
      <c r="J604" s="27" t="s">
        <v>3516</v>
      </c>
      <c r="K604" s="79" t="str">
        <f t="shared" si="123"/>
        <v>#REF!</v>
      </c>
      <c r="L604" s="27" t="s">
        <v>3515</v>
      </c>
      <c r="M604" s="27" t="str">
        <f t="shared" si="124"/>
        <v>};</v>
      </c>
      <c r="P604" s="78"/>
      <c r="Q604" s="6">
        <v>0.0</v>
      </c>
    </row>
    <row r="605" ht="12.0" customHeight="1">
      <c r="A605" s="22"/>
      <c r="B605" s="27" t="str">
        <f t="shared" si="121"/>
        <v>#REF!</v>
      </c>
      <c r="C605" s="27"/>
      <c r="D605" s="27"/>
      <c r="E605" s="27"/>
      <c r="F605" s="27"/>
      <c r="G605" s="27" t="s">
        <v>3512</v>
      </c>
      <c r="H605" s="27" t="str">
        <f t="shared" si="122"/>
        <v>#REF!</v>
      </c>
      <c r="I605" s="27" t="s">
        <v>3515</v>
      </c>
      <c r="J605" s="27" t="s">
        <v>3516</v>
      </c>
      <c r="K605" s="79" t="str">
        <f t="shared" si="123"/>
        <v>#REF!</v>
      </c>
      <c r="L605" s="27" t="s">
        <v>3515</v>
      </c>
      <c r="M605" s="27" t="str">
        <f t="shared" si="124"/>
        <v>};</v>
      </c>
      <c r="P605" s="78"/>
      <c r="Q605" s="6">
        <v>0.0</v>
      </c>
    </row>
    <row r="606" ht="12.0" customHeight="1">
      <c r="A606" s="22"/>
      <c r="B606" s="27" t="str">
        <f t="shared" si="121"/>
        <v>#REF!</v>
      </c>
      <c r="C606" s="27"/>
      <c r="D606" s="27"/>
      <c r="E606" s="27"/>
      <c r="F606" s="27"/>
      <c r="G606" s="27" t="s">
        <v>3512</v>
      </c>
      <c r="H606" s="27" t="str">
        <f t="shared" si="122"/>
        <v>#REF!</v>
      </c>
      <c r="I606" s="27" t="s">
        <v>3515</v>
      </c>
      <c r="J606" s="27" t="s">
        <v>3516</v>
      </c>
      <c r="K606" s="79" t="str">
        <f t="shared" si="123"/>
        <v>#REF!</v>
      </c>
      <c r="L606" s="27" t="s">
        <v>3515</v>
      </c>
      <c r="M606" s="27" t="str">
        <f t="shared" si="124"/>
        <v>};</v>
      </c>
      <c r="P606" s="78"/>
      <c r="Q606" s="6">
        <v>0.0</v>
      </c>
    </row>
    <row r="607" ht="12.0" customHeight="1">
      <c r="A607" s="22"/>
      <c r="B607" s="27" t="str">
        <f t="shared" si="121"/>
        <v>#REF!</v>
      </c>
      <c r="C607" s="27"/>
      <c r="D607" s="27"/>
      <c r="E607" s="27"/>
      <c r="F607" s="27"/>
      <c r="G607" s="27" t="s">
        <v>3512</v>
      </c>
      <c r="H607" s="27" t="str">
        <f t="shared" si="122"/>
        <v>#REF!</v>
      </c>
      <c r="I607" s="27" t="s">
        <v>3515</v>
      </c>
      <c r="J607" s="27" t="s">
        <v>3516</v>
      </c>
      <c r="K607" s="79" t="str">
        <f t="shared" si="123"/>
        <v>#REF!</v>
      </c>
      <c r="L607" s="27" t="s">
        <v>3515</v>
      </c>
      <c r="M607" s="27" t="str">
        <f t="shared" si="124"/>
        <v>};</v>
      </c>
      <c r="P607" s="78"/>
      <c r="Q607" s="6">
        <v>0.0</v>
      </c>
    </row>
    <row r="608" ht="12.0" customHeight="1">
      <c r="A608" s="22"/>
      <c r="B608" s="27" t="str">
        <f t="shared" si="121"/>
        <v>#REF!</v>
      </c>
      <c r="C608" s="27"/>
      <c r="D608" s="27"/>
      <c r="E608" s="27"/>
      <c r="F608" s="27"/>
      <c r="G608" s="27" t="s">
        <v>3512</v>
      </c>
      <c r="H608" s="27" t="str">
        <f t="shared" si="122"/>
        <v>#REF!</v>
      </c>
      <c r="I608" s="27" t="s">
        <v>3515</v>
      </c>
      <c r="J608" s="27" t="s">
        <v>3516</v>
      </c>
      <c r="K608" s="79" t="str">
        <f t="shared" si="123"/>
        <v>#REF!</v>
      </c>
      <c r="L608" s="27" t="s">
        <v>3515</v>
      </c>
      <c r="M608" s="27" t="str">
        <f t="shared" si="124"/>
        <v>};</v>
      </c>
      <c r="P608" s="78"/>
      <c r="Q608" s="6">
        <v>0.0</v>
      </c>
    </row>
    <row r="609" ht="12.0" customHeight="1">
      <c r="A609" s="22"/>
      <c r="B609" s="27" t="str">
        <f t="shared" si="121"/>
        <v>#REF!</v>
      </c>
      <c r="C609" s="27"/>
      <c r="D609" s="27"/>
      <c r="E609" s="27"/>
      <c r="F609" s="27"/>
      <c r="G609" s="27" t="s">
        <v>3512</v>
      </c>
      <c r="H609" s="27" t="str">
        <f t="shared" si="122"/>
        <v>#REF!</v>
      </c>
      <c r="I609" s="27" t="s">
        <v>3515</v>
      </c>
      <c r="J609" s="27" t="s">
        <v>3516</v>
      </c>
      <c r="K609" s="79" t="str">
        <f t="shared" si="123"/>
        <v>#REF!</v>
      </c>
      <c r="L609" s="27" t="s">
        <v>3515</v>
      </c>
      <c r="M609" s="27" t="str">
        <f t="shared" si="124"/>
        <v>};</v>
      </c>
      <c r="P609" s="78"/>
      <c r="Q609" s="6">
        <v>0.0</v>
      </c>
    </row>
    <row r="610" ht="12.0" customHeight="1">
      <c r="A610" s="22"/>
      <c r="B610" s="27" t="str">
        <f t="shared" si="121"/>
        <v>#REF!</v>
      </c>
      <c r="C610" s="27"/>
      <c r="D610" s="27"/>
      <c r="E610" s="27"/>
      <c r="F610" s="27"/>
      <c r="G610" s="27" t="s">
        <v>3512</v>
      </c>
      <c r="H610" s="27" t="str">
        <f t="shared" si="122"/>
        <v>#REF!</v>
      </c>
      <c r="I610" s="27" t="s">
        <v>3515</v>
      </c>
      <c r="J610" s="27" t="s">
        <v>3516</v>
      </c>
      <c r="K610" s="79" t="str">
        <f t="shared" si="123"/>
        <v>#REF!</v>
      </c>
      <c r="L610" s="27" t="s">
        <v>3515</v>
      </c>
      <c r="M610" s="27" t="str">
        <f t="shared" si="124"/>
        <v>};</v>
      </c>
      <c r="P610" s="78"/>
      <c r="Q610" s="6">
        <v>0.0</v>
      </c>
    </row>
    <row r="611" ht="12.0" customHeight="1">
      <c r="A611" s="22"/>
      <c r="B611" s="27" t="str">
        <f t="shared" si="121"/>
        <v>#REF!</v>
      </c>
      <c r="C611" s="27"/>
      <c r="D611" s="27"/>
      <c r="E611" s="27"/>
      <c r="F611" s="27"/>
      <c r="G611" s="27" t="s">
        <v>3512</v>
      </c>
      <c r="H611" s="27" t="str">
        <f t="shared" si="122"/>
        <v>#REF!</v>
      </c>
      <c r="I611" s="27" t="s">
        <v>3515</v>
      </c>
      <c r="J611" s="27" t="s">
        <v>3516</v>
      </c>
      <c r="K611" s="79" t="str">
        <f t="shared" si="123"/>
        <v>#REF!</v>
      </c>
      <c r="L611" s="27" t="s">
        <v>3515</v>
      </c>
      <c r="M611" s="27" t="str">
        <f t="shared" si="124"/>
        <v>};</v>
      </c>
      <c r="P611" s="78"/>
      <c r="Q611" s="6">
        <v>0.0</v>
      </c>
    </row>
    <row r="612" ht="12.0" customHeight="1">
      <c r="A612" s="22"/>
      <c r="B612" s="27" t="str">
        <f t="shared" si="121"/>
        <v>#REF!</v>
      </c>
      <c r="C612" s="27"/>
      <c r="D612" s="27"/>
      <c r="E612" s="27"/>
      <c r="F612" s="27"/>
      <c r="G612" s="27" t="s">
        <v>3512</v>
      </c>
      <c r="H612" s="27" t="str">
        <f t="shared" si="122"/>
        <v>#REF!</v>
      </c>
      <c r="I612" s="27" t="s">
        <v>3515</v>
      </c>
      <c r="J612" s="27" t="s">
        <v>3516</v>
      </c>
      <c r="K612" s="79" t="str">
        <f t="shared" si="123"/>
        <v>#REF!</v>
      </c>
      <c r="L612" s="27" t="s">
        <v>3515</v>
      </c>
      <c r="M612" s="27" t="str">
        <f t="shared" si="124"/>
        <v>};</v>
      </c>
      <c r="P612" s="78"/>
      <c r="Q612" s="6">
        <v>0.0</v>
      </c>
    </row>
    <row r="613" ht="12.0" customHeight="1">
      <c r="A613" s="22"/>
      <c r="B613" s="27" t="str">
        <f t="shared" si="121"/>
        <v>#REF!</v>
      </c>
      <c r="C613" s="27"/>
      <c r="D613" s="27"/>
      <c r="E613" s="27"/>
      <c r="F613" s="27"/>
      <c r="G613" s="27" t="s">
        <v>3512</v>
      </c>
      <c r="H613" s="27" t="str">
        <f t="shared" si="122"/>
        <v>#REF!</v>
      </c>
      <c r="I613" s="27" t="s">
        <v>3515</v>
      </c>
      <c r="J613" s="27" t="s">
        <v>3516</v>
      </c>
      <c r="K613" s="79" t="str">
        <f t="shared" si="123"/>
        <v>#REF!</v>
      </c>
      <c r="L613" s="27" t="s">
        <v>3515</v>
      </c>
      <c r="M613" s="27" t="str">
        <f t="shared" si="124"/>
        <v>};</v>
      </c>
      <c r="P613" s="78"/>
      <c r="Q613" s="6">
        <v>0.0</v>
      </c>
    </row>
    <row r="614" ht="12.0" customHeight="1">
      <c r="A614" s="22"/>
      <c r="B614" s="27" t="str">
        <f t="shared" si="121"/>
        <v>#REF!</v>
      </c>
      <c r="C614" s="27"/>
      <c r="D614" s="27"/>
      <c r="E614" s="27"/>
      <c r="F614" s="27"/>
      <c r="G614" s="27" t="s">
        <v>3512</v>
      </c>
      <c r="H614" s="27" t="str">
        <f t="shared" si="122"/>
        <v>#REF!</v>
      </c>
      <c r="I614" s="27" t="s">
        <v>3515</v>
      </c>
      <c r="J614" s="27" t="s">
        <v>3516</v>
      </c>
      <c r="K614" s="79" t="str">
        <f t="shared" si="123"/>
        <v>#REF!</v>
      </c>
      <c r="L614" s="27" t="s">
        <v>3515</v>
      </c>
      <c r="M614" s="27" t="str">
        <f t="shared" si="124"/>
        <v>};</v>
      </c>
      <c r="P614" s="78"/>
      <c r="Q614" s="6">
        <v>0.0</v>
      </c>
    </row>
    <row r="615" ht="12.0" customHeight="1">
      <c r="A615" s="22"/>
      <c r="B615" s="27" t="str">
        <f t="shared" si="121"/>
        <v>#REF!</v>
      </c>
      <c r="C615" s="27"/>
      <c r="D615" s="27"/>
      <c r="E615" s="27"/>
      <c r="F615" s="27"/>
      <c r="G615" s="27" t="s">
        <v>3512</v>
      </c>
      <c r="H615" s="27" t="str">
        <f t="shared" si="122"/>
        <v>#REF!</v>
      </c>
      <c r="I615" s="27" t="s">
        <v>3515</v>
      </c>
      <c r="J615" s="27" t="s">
        <v>3516</v>
      </c>
      <c r="K615" s="79" t="str">
        <f t="shared" si="123"/>
        <v>#REF!</v>
      </c>
      <c r="L615" s="27" t="s">
        <v>3515</v>
      </c>
      <c r="M615" s="27" t="str">
        <f t="shared" si="124"/>
        <v>};</v>
      </c>
      <c r="P615" s="78"/>
      <c r="Q615" s="6">
        <v>0.0</v>
      </c>
    </row>
    <row r="616" ht="12.0" customHeight="1">
      <c r="A616" s="22"/>
      <c r="B616" s="27" t="str">
        <f t="shared" si="121"/>
        <v>#REF!</v>
      </c>
      <c r="C616" s="27"/>
      <c r="D616" s="27"/>
      <c r="E616" s="27"/>
      <c r="F616" s="27"/>
      <c r="G616" s="27" t="s">
        <v>3512</v>
      </c>
      <c r="H616" s="27" t="str">
        <f t="shared" si="122"/>
        <v>#REF!</v>
      </c>
      <c r="I616" s="27" t="s">
        <v>3515</v>
      </c>
      <c r="J616" s="27" t="s">
        <v>3516</v>
      </c>
      <c r="K616" s="79" t="str">
        <f t="shared" si="123"/>
        <v>#REF!</v>
      </c>
      <c r="L616" s="27" t="s">
        <v>3515</v>
      </c>
      <c r="M616" s="27" t="str">
        <f t="shared" si="124"/>
        <v>};</v>
      </c>
      <c r="P616" s="78"/>
      <c r="Q616" s="6">
        <v>0.0</v>
      </c>
    </row>
    <row r="617" ht="12.0" customHeight="1">
      <c r="A617" s="22"/>
      <c r="B617" s="27" t="str">
        <f t="shared" si="121"/>
        <v>#REF!</v>
      </c>
      <c r="C617" s="27"/>
      <c r="D617" s="27"/>
      <c r="E617" s="27"/>
      <c r="F617" s="27"/>
      <c r="G617" s="27" t="s">
        <v>3512</v>
      </c>
      <c r="H617" s="27" t="str">
        <f t="shared" si="122"/>
        <v>#REF!</v>
      </c>
      <c r="I617" s="27" t="s">
        <v>3515</v>
      </c>
      <c r="J617" s="27" t="s">
        <v>3516</v>
      </c>
      <c r="K617" s="79" t="str">
        <f t="shared" si="123"/>
        <v>#REF!</v>
      </c>
      <c r="L617" s="27" t="s">
        <v>3515</v>
      </c>
      <c r="M617" s="27" t="str">
        <f t="shared" si="124"/>
        <v>};</v>
      </c>
      <c r="P617" s="78"/>
      <c r="Q617" s="6">
        <v>0.0</v>
      </c>
    </row>
    <row r="618" ht="12.0" customHeight="1">
      <c r="A618" s="22"/>
      <c r="B618" s="27" t="str">
        <f t="shared" si="121"/>
        <v>#REF!</v>
      </c>
      <c r="C618" s="27"/>
      <c r="D618" s="27"/>
      <c r="E618" s="27"/>
      <c r="F618" s="27"/>
      <c r="G618" s="27" t="s">
        <v>3512</v>
      </c>
      <c r="H618" s="27" t="str">
        <f t="shared" si="122"/>
        <v>#REF!</v>
      </c>
      <c r="I618" s="27" t="s">
        <v>3515</v>
      </c>
      <c r="J618" s="27" t="s">
        <v>3516</v>
      </c>
      <c r="K618" s="79" t="str">
        <f t="shared" si="123"/>
        <v>#REF!</v>
      </c>
      <c r="L618" s="27" t="s">
        <v>3515</v>
      </c>
      <c r="M618" s="27" t="str">
        <f t="shared" si="124"/>
        <v>};</v>
      </c>
      <c r="P618" s="78"/>
      <c r="Q618" s="6">
        <v>0.0</v>
      </c>
    </row>
    <row r="619" ht="12.0" customHeight="1">
      <c r="A619" s="22"/>
      <c r="B619" s="27" t="str">
        <f t="shared" si="121"/>
        <v>#REF!</v>
      </c>
      <c r="C619" s="27"/>
      <c r="D619" s="27"/>
      <c r="E619" s="27"/>
      <c r="F619" s="27"/>
      <c r="G619" s="27" t="s">
        <v>3512</v>
      </c>
      <c r="H619" s="27" t="str">
        <f t="shared" si="122"/>
        <v>#REF!</v>
      </c>
      <c r="I619" s="27" t="s">
        <v>3515</v>
      </c>
      <c r="J619" s="27" t="s">
        <v>3516</v>
      </c>
      <c r="K619" s="79" t="str">
        <f t="shared" si="123"/>
        <v>#REF!</v>
      </c>
      <c r="L619" s="27" t="s">
        <v>3515</v>
      </c>
      <c r="M619" s="27" t="str">
        <f t="shared" si="124"/>
        <v>};</v>
      </c>
      <c r="P619" s="78"/>
      <c r="Q619" s="6">
        <v>0.0</v>
      </c>
    </row>
    <row r="620" ht="12.0" customHeight="1">
      <c r="A620" s="22"/>
      <c r="B620" s="27" t="str">
        <f t="shared" si="121"/>
        <v>#REF!</v>
      </c>
      <c r="C620" s="27"/>
      <c r="D620" s="27"/>
      <c r="E620" s="27"/>
      <c r="F620" s="27"/>
      <c r="G620" s="27" t="s">
        <v>3512</v>
      </c>
      <c r="H620" s="27" t="str">
        <f t="shared" si="122"/>
        <v>#REF!</v>
      </c>
      <c r="I620" s="27" t="s">
        <v>3515</v>
      </c>
      <c r="J620" s="27" t="s">
        <v>3516</v>
      </c>
      <c r="K620" s="79" t="str">
        <f t="shared" si="123"/>
        <v>#REF!</v>
      </c>
      <c r="L620" s="27" t="s">
        <v>3515</v>
      </c>
      <c r="M620" s="27" t="str">
        <f t="shared" si="124"/>
        <v>};</v>
      </c>
      <c r="P620" s="78"/>
      <c r="Q620" s="6">
        <v>0.0</v>
      </c>
    </row>
    <row r="621" ht="12.0" customHeight="1">
      <c r="A621" s="22"/>
      <c r="B621" s="27" t="str">
        <f t="shared" si="121"/>
        <v>#REF!</v>
      </c>
      <c r="C621" s="27"/>
      <c r="D621" s="27"/>
      <c r="E621" s="27"/>
      <c r="F621" s="27"/>
      <c r="G621" s="27" t="s">
        <v>3512</v>
      </c>
      <c r="H621" s="27" t="str">
        <f t="shared" si="122"/>
        <v>#REF!</v>
      </c>
      <c r="I621" s="27" t="s">
        <v>3515</v>
      </c>
      <c r="J621" s="27" t="s">
        <v>3516</v>
      </c>
      <c r="K621" s="79" t="str">
        <f t="shared" si="123"/>
        <v>#REF!</v>
      </c>
      <c r="L621" s="27" t="s">
        <v>3515</v>
      </c>
      <c r="M621" s="27" t="str">
        <f t="shared" si="124"/>
        <v>};</v>
      </c>
      <c r="P621" s="78"/>
      <c r="Q621" s="6">
        <v>0.0</v>
      </c>
    </row>
    <row r="622" ht="12.0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79"/>
      <c r="L622" s="27"/>
      <c r="M622" s="27"/>
      <c r="N622" s="27"/>
      <c r="O622" s="27"/>
      <c r="P622" s="90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2.0" customHeight="1">
      <c r="A623" s="22"/>
      <c r="B623" s="22" t="s">
        <v>174</v>
      </c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P623" s="78"/>
    </row>
    <row r="624" ht="12.0" customHeight="1">
      <c r="A624" s="22"/>
      <c r="B624" s="22" t="s">
        <v>3951</v>
      </c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P624" s="78"/>
    </row>
    <row r="625" ht="12.0" customHeight="1">
      <c r="A625" s="22"/>
      <c r="B625" s="22" t="s">
        <v>174</v>
      </c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P625" s="78"/>
    </row>
    <row r="626" ht="12.0" customHeight="1">
      <c r="A626" s="22"/>
      <c r="B626" s="27" t="str">
        <f t="shared" ref="B626:B643" si="125">'Exile INPUT'!C595</f>
        <v>#REF!</v>
      </c>
      <c r="C626" s="27"/>
      <c r="D626" s="27"/>
      <c r="E626" s="27"/>
      <c r="F626" s="27"/>
      <c r="G626" s="27" t="s">
        <v>3512</v>
      </c>
      <c r="H626" s="27" t="str">
        <f t="shared" ref="H626:H643" si="126">'Exile INPUT'!F595</f>
        <v>#REF!</v>
      </c>
      <c r="I626" s="27" t="s">
        <v>3515</v>
      </c>
      <c r="J626" s="27" t="s">
        <v>3516</v>
      </c>
      <c r="K626" s="79" t="str">
        <f t="shared" ref="K626:K643" si="127">'Exile INPUT'!J595</f>
        <v>#REF!</v>
      </c>
      <c r="L626" s="27" t="s">
        <v>3515</v>
      </c>
      <c r="M626" s="27" t="str">
        <f t="shared" ref="M626:M643" si="128">IF(Q626 = 0, "};",CONCATENATE("sellPrice = ",Q626,"; };"))</f>
        <v>};</v>
      </c>
      <c r="P626" s="78"/>
      <c r="Q626" s="6">
        <v>0.0</v>
      </c>
    </row>
    <row r="627" ht="12.0" customHeight="1">
      <c r="A627" s="22"/>
      <c r="B627" s="27" t="str">
        <f t="shared" si="125"/>
        <v>#REF!</v>
      </c>
      <c r="C627" s="27"/>
      <c r="D627" s="27"/>
      <c r="E627" s="27"/>
      <c r="F627" s="27"/>
      <c r="G627" s="27" t="s">
        <v>3512</v>
      </c>
      <c r="H627" s="27" t="str">
        <f t="shared" si="126"/>
        <v>#REF!</v>
      </c>
      <c r="I627" s="27" t="s">
        <v>3515</v>
      </c>
      <c r="J627" s="27" t="s">
        <v>3516</v>
      </c>
      <c r="K627" s="79" t="str">
        <f t="shared" si="127"/>
        <v>#REF!</v>
      </c>
      <c r="L627" s="27" t="s">
        <v>3515</v>
      </c>
      <c r="M627" s="27" t="str">
        <f t="shared" si="128"/>
        <v>};</v>
      </c>
      <c r="P627" s="78"/>
      <c r="Q627" s="6">
        <v>0.0</v>
      </c>
    </row>
    <row r="628" ht="12.0" customHeight="1">
      <c r="A628" s="22"/>
      <c r="B628" s="27" t="str">
        <f t="shared" si="125"/>
        <v>#REF!</v>
      </c>
      <c r="C628" s="27"/>
      <c r="D628" s="27"/>
      <c r="E628" s="27"/>
      <c r="F628" s="27"/>
      <c r="G628" s="27" t="s">
        <v>3512</v>
      </c>
      <c r="H628" s="27" t="str">
        <f t="shared" si="126"/>
        <v>#REF!</v>
      </c>
      <c r="I628" s="27" t="s">
        <v>3515</v>
      </c>
      <c r="J628" s="27" t="s">
        <v>3516</v>
      </c>
      <c r="K628" s="79" t="str">
        <f t="shared" si="127"/>
        <v>#REF!</v>
      </c>
      <c r="L628" s="27" t="s">
        <v>3515</v>
      </c>
      <c r="M628" s="27" t="str">
        <f t="shared" si="128"/>
        <v>};</v>
      </c>
      <c r="P628" s="78"/>
      <c r="Q628" s="6">
        <v>0.0</v>
      </c>
    </row>
    <row r="629" ht="12.0" customHeight="1">
      <c r="A629" s="22"/>
      <c r="B629" s="27" t="str">
        <f t="shared" si="125"/>
        <v>#REF!</v>
      </c>
      <c r="C629" s="27"/>
      <c r="D629" s="27"/>
      <c r="E629" s="27"/>
      <c r="F629" s="27"/>
      <c r="G629" s="27" t="s">
        <v>3512</v>
      </c>
      <c r="H629" s="27" t="str">
        <f t="shared" si="126"/>
        <v>#REF!</v>
      </c>
      <c r="I629" s="27" t="s">
        <v>3515</v>
      </c>
      <c r="J629" s="27" t="s">
        <v>3516</v>
      </c>
      <c r="K629" s="79" t="str">
        <f t="shared" si="127"/>
        <v>#REF!</v>
      </c>
      <c r="L629" s="27" t="s">
        <v>3515</v>
      </c>
      <c r="M629" s="27" t="str">
        <f t="shared" si="128"/>
        <v>};</v>
      </c>
      <c r="P629" s="78"/>
      <c r="Q629" s="6">
        <v>0.0</v>
      </c>
    </row>
    <row r="630" ht="12.0" customHeight="1">
      <c r="A630" s="22"/>
      <c r="B630" s="27" t="str">
        <f t="shared" si="125"/>
        <v>#REF!</v>
      </c>
      <c r="C630" s="27"/>
      <c r="D630" s="27"/>
      <c r="E630" s="27"/>
      <c r="F630" s="27"/>
      <c r="G630" s="27" t="s">
        <v>3512</v>
      </c>
      <c r="H630" s="27" t="str">
        <f t="shared" si="126"/>
        <v>#REF!</v>
      </c>
      <c r="I630" s="27" t="s">
        <v>3515</v>
      </c>
      <c r="J630" s="27" t="s">
        <v>3516</v>
      </c>
      <c r="K630" s="79" t="str">
        <f t="shared" si="127"/>
        <v>#REF!</v>
      </c>
      <c r="L630" s="27" t="s">
        <v>3515</v>
      </c>
      <c r="M630" s="27" t="str">
        <f t="shared" si="128"/>
        <v>};</v>
      </c>
      <c r="P630" s="78"/>
      <c r="Q630" s="6">
        <v>0.0</v>
      </c>
    </row>
    <row r="631" ht="12.0" customHeight="1">
      <c r="A631" s="22"/>
      <c r="B631" s="27" t="str">
        <f t="shared" si="125"/>
        <v>#REF!</v>
      </c>
      <c r="C631" s="27"/>
      <c r="D631" s="27"/>
      <c r="E631" s="27"/>
      <c r="F631" s="27"/>
      <c r="G631" s="27" t="s">
        <v>3512</v>
      </c>
      <c r="H631" s="27" t="str">
        <f t="shared" si="126"/>
        <v>#REF!</v>
      </c>
      <c r="I631" s="27" t="s">
        <v>3515</v>
      </c>
      <c r="J631" s="27" t="s">
        <v>3516</v>
      </c>
      <c r="K631" s="79" t="str">
        <f t="shared" si="127"/>
        <v>#REF!</v>
      </c>
      <c r="L631" s="27" t="s">
        <v>3515</v>
      </c>
      <c r="M631" s="27" t="str">
        <f t="shared" si="128"/>
        <v>};</v>
      </c>
      <c r="P631" s="78"/>
      <c r="Q631" s="6">
        <v>0.0</v>
      </c>
    </row>
    <row r="632" ht="12.0" customHeight="1">
      <c r="A632" s="22"/>
      <c r="B632" s="27" t="str">
        <f t="shared" si="125"/>
        <v>#REF!</v>
      </c>
      <c r="C632" s="27"/>
      <c r="D632" s="27"/>
      <c r="E632" s="27"/>
      <c r="F632" s="27"/>
      <c r="G632" s="27" t="s">
        <v>3512</v>
      </c>
      <c r="H632" s="27" t="str">
        <f t="shared" si="126"/>
        <v>#REF!</v>
      </c>
      <c r="I632" s="27" t="s">
        <v>3515</v>
      </c>
      <c r="J632" s="27" t="s">
        <v>3516</v>
      </c>
      <c r="K632" s="79" t="str">
        <f t="shared" si="127"/>
        <v>#REF!</v>
      </c>
      <c r="L632" s="27" t="s">
        <v>3515</v>
      </c>
      <c r="M632" s="27" t="str">
        <f t="shared" si="128"/>
        <v>};</v>
      </c>
      <c r="P632" s="78"/>
      <c r="Q632" s="6">
        <v>0.0</v>
      </c>
    </row>
    <row r="633" ht="12.0" customHeight="1">
      <c r="A633" s="22"/>
      <c r="B633" s="27" t="str">
        <f t="shared" si="125"/>
        <v>#REF!</v>
      </c>
      <c r="C633" s="27"/>
      <c r="D633" s="27"/>
      <c r="E633" s="27"/>
      <c r="F633" s="27"/>
      <c r="G633" s="27" t="s">
        <v>3512</v>
      </c>
      <c r="H633" s="27" t="str">
        <f t="shared" si="126"/>
        <v>#REF!</v>
      </c>
      <c r="I633" s="27" t="s">
        <v>3515</v>
      </c>
      <c r="J633" s="27" t="s">
        <v>3516</v>
      </c>
      <c r="K633" s="79" t="str">
        <f t="shared" si="127"/>
        <v>#REF!</v>
      </c>
      <c r="L633" s="27" t="s">
        <v>3515</v>
      </c>
      <c r="M633" s="27" t="str">
        <f t="shared" si="128"/>
        <v>};</v>
      </c>
      <c r="P633" s="78"/>
      <c r="Q633" s="6">
        <v>0.0</v>
      </c>
    </row>
    <row r="634" ht="12.0" customHeight="1">
      <c r="A634" s="22"/>
      <c r="B634" s="27" t="str">
        <f t="shared" si="125"/>
        <v>#REF!</v>
      </c>
      <c r="C634" s="27"/>
      <c r="D634" s="27"/>
      <c r="E634" s="27"/>
      <c r="F634" s="27"/>
      <c r="G634" s="27" t="s">
        <v>3512</v>
      </c>
      <c r="H634" s="27" t="str">
        <f t="shared" si="126"/>
        <v>#REF!</v>
      </c>
      <c r="I634" s="27" t="s">
        <v>3515</v>
      </c>
      <c r="J634" s="27" t="s">
        <v>3516</v>
      </c>
      <c r="K634" s="79" t="str">
        <f t="shared" si="127"/>
        <v>#REF!</v>
      </c>
      <c r="L634" s="27" t="s">
        <v>3515</v>
      </c>
      <c r="M634" s="27" t="str">
        <f t="shared" si="128"/>
        <v>};</v>
      </c>
      <c r="P634" s="78"/>
      <c r="Q634" s="6">
        <v>0.0</v>
      </c>
    </row>
    <row r="635" ht="12.0" customHeight="1">
      <c r="A635" s="22"/>
      <c r="B635" s="27" t="str">
        <f t="shared" si="125"/>
        <v>#REF!</v>
      </c>
      <c r="C635" s="27"/>
      <c r="D635" s="27"/>
      <c r="E635" s="27"/>
      <c r="F635" s="27"/>
      <c r="G635" s="27" t="s">
        <v>3512</v>
      </c>
      <c r="H635" s="27" t="str">
        <f t="shared" si="126"/>
        <v>#REF!</v>
      </c>
      <c r="I635" s="27" t="s">
        <v>3515</v>
      </c>
      <c r="J635" s="27" t="s">
        <v>3516</v>
      </c>
      <c r="K635" s="79" t="str">
        <f t="shared" si="127"/>
        <v>#REF!</v>
      </c>
      <c r="L635" s="27" t="s">
        <v>3515</v>
      </c>
      <c r="M635" s="27" t="str">
        <f t="shared" si="128"/>
        <v>};</v>
      </c>
      <c r="P635" s="78"/>
      <c r="Q635" s="6">
        <v>0.0</v>
      </c>
    </row>
    <row r="636" ht="12.0" customHeight="1">
      <c r="A636" s="22"/>
      <c r="B636" s="27" t="str">
        <f t="shared" si="125"/>
        <v>#REF!</v>
      </c>
      <c r="C636" s="27"/>
      <c r="D636" s="27"/>
      <c r="E636" s="27"/>
      <c r="F636" s="27"/>
      <c r="G636" s="27" t="s">
        <v>3512</v>
      </c>
      <c r="H636" s="27" t="str">
        <f t="shared" si="126"/>
        <v>#REF!</v>
      </c>
      <c r="I636" s="27" t="s">
        <v>3515</v>
      </c>
      <c r="J636" s="27" t="s">
        <v>3516</v>
      </c>
      <c r="K636" s="79" t="str">
        <f t="shared" si="127"/>
        <v>#REF!</v>
      </c>
      <c r="L636" s="27" t="s">
        <v>3515</v>
      </c>
      <c r="M636" s="27" t="str">
        <f t="shared" si="128"/>
        <v>};</v>
      </c>
      <c r="P636" s="78"/>
      <c r="Q636" s="6">
        <v>0.0</v>
      </c>
    </row>
    <row r="637" ht="12.0" customHeight="1">
      <c r="A637" s="22"/>
      <c r="B637" s="27" t="str">
        <f t="shared" si="125"/>
        <v>#REF!</v>
      </c>
      <c r="C637" s="27"/>
      <c r="D637" s="27"/>
      <c r="E637" s="27"/>
      <c r="F637" s="27"/>
      <c r="G637" s="27" t="s">
        <v>3512</v>
      </c>
      <c r="H637" s="27" t="str">
        <f t="shared" si="126"/>
        <v>#REF!</v>
      </c>
      <c r="I637" s="27" t="s">
        <v>3515</v>
      </c>
      <c r="J637" s="27" t="s">
        <v>3516</v>
      </c>
      <c r="K637" s="79" t="str">
        <f t="shared" si="127"/>
        <v>#REF!</v>
      </c>
      <c r="L637" s="27" t="s">
        <v>3515</v>
      </c>
      <c r="M637" s="27" t="str">
        <f t="shared" si="128"/>
        <v>};</v>
      </c>
      <c r="P637" s="78"/>
      <c r="Q637" s="6">
        <v>0.0</v>
      </c>
    </row>
    <row r="638" ht="12.0" customHeight="1">
      <c r="A638" s="22"/>
      <c r="B638" s="27" t="str">
        <f t="shared" si="125"/>
        <v>#REF!</v>
      </c>
      <c r="C638" s="27"/>
      <c r="D638" s="27"/>
      <c r="E638" s="27"/>
      <c r="F638" s="27"/>
      <c r="G638" s="27" t="s">
        <v>3512</v>
      </c>
      <c r="H638" s="27" t="str">
        <f t="shared" si="126"/>
        <v>#REF!</v>
      </c>
      <c r="I638" s="27" t="s">
        <v>3515</v>
      </c>
      <c r="J638" s="27" t="s">
        <v>3516</v>
      </c>
      <c r="K638" s="79" t="str">
        <f t="shared" si="127"/>
        <v>#REF!</v>
      </c>
      <c r="L638" s="27" t="s">
        <v>3515</v>
      </c>
      <c r="M638" s="27" t="str">
        <f t="shared" si="128"/>
        <v>};</v>
      </c>
      <c r="P638" s="78"/>
      <c r="Q638" s="6">
        <v>0.0</v>
      </c>
    </row>
    <row r="639" ht="12.0" customHeight="1">
      <c r="A639" s="22"/>
      <c r="B639" s="27" t="str">
        <f t="shared" si="125"/>
        <v>#REF!</v>
      </c>
      <c r="C639" s="27"/>
      <c r="D639" s="27"/>
      <c r="E639" s="27"/>
      <c r="F639" s="27"/>
      <c r="G639" s="27" t="s">
        <v>3512</v>
      </c>
      <c r="H639" s="27" t="str">
        <f t="shared" si="126"/>
        <v>#REF!</v>
      </c>
      <c r="I639" s="27" t="s">
        <v>3515</v>
      </c>
      <c r="J639" s="27" t="s">
        <v>3516</v>
      </c>
      <c r="K639" s="79" t="str">
        <f t="shared" si="127"/>
        <v>#REF!</v>
      </c>
      <c r="L639" s="27" t="s">
        <v>3515</v>
      </c>
      <c r="M639" s="27" t="str">
        <f t="shared" si="128"/>
        <v>};</v>
      </c>
      <c r="P639" s="78"/>
      <c r="Q639" s="6">
        <v>0.0</v>
      </c>
    </row>
    <row r="640" ht="12.0" customHeight="1">
      <c r="A640" s="22"/>
      <c r="B640" s="27" t="str">
        <f t="shared" si="125"/>
        <v>#REF!</v>
      </c>
      <c r="C640" s="27"/>
      <c r="D640" s="27"/>
      <c r="E640" s="27"/>
      <c r="F640" s="27"/>
      <c r="G640" s="27" t="s">
        <v>3512</v>
      </c>
      <c r="H640" s="27" t="str">
        <f t="shared" si="126"/>
        <v>#REF!</v>
      </c>
      <c r="I640" s="27" t="s">
        <v>3515</v>
      </c>
      <c r="J640" s="27" t="s">
        <v>3516</v>
      </c>
      <c r="K640" s="79" t="str">
        <f t="shared" si="127"/>
        <v>#REF!</v>
      </c>
      <c r="L640" s="27" t="s">
        <v>3515</v>
      </c>
      <c r="M640" s="27" t="str">
        <f t="shared" si="128"/>
        <v>};</v>
      </c>
      <c r="P640" s="78"/>
      <c r="Q640" s="6">
        <v>0.0</v>
      </c>
    </row>
    <row r="641" ht="12.0" customHeight="1">
      <c r="A641" s="22"/>
      <c r="B641" s="27" t="str">
        <f t="shared" si="125"/>
        <v>#REF!</v>
      </c>
      <c r="C641" s="27"/>
      <c r="D641" s="27"/>
      <c r="E641" s="27"/>
      <c r="F641" s="27"/>
      <c r="G641" s="27" t="s">
        <v>3512</v>
      </c>
      <c r="H641" s="27" t="str">
        <f t="shared" si="126"/>
        <v>#REF!</v>
      </c>
      <c r="I641" s="27" t="s">
        <v>3515</v>
      </c>
      <c r="J641" s="27" t="s">
        <v>3516</v>
      </c>
      <c r="K641" s="79" t="str">
        <f t="shared" si="127"/>
        <v>#REF!</v>
      </c>
      <c r="L641" s="27" t="s">
        <v>3515</v>
      </c>
      <c r="M641" s="27" t="str">
        <f t="shared" si="128"/>
        <v>};</v>
      </c>
      <c r="P641" s="78"/>
      <c r="Q641" s="6">
        <v>0.0</v>
      </c>
    </row>
    <row r="642" ht="12.0" customHeight="1">
      <c r="A642" s="22"/>
      <c r="B642" s="27" t="str">
        <f t="shared" si="125"/>
        <v>#REF!</v>
      </c>
      <c r="C642" s="27"/>
      <c r="D642" s="27"/>
      <c r="E642" s="27"/>
      <c r="F642" s="27"/>
      <c r="G642" s="27" t="s">
        <v>3512</v>
      </c>
      <c r="H642" s="27" t="str">
        <f t="shared" si="126"/>
        <v>#REF!</v>
      </c>
      <c r="I642" s="27" t="s">
        <v>3515</v>
      </c>
      <c r="J642" s="27" t="s">
        <v>3516</v>
      </c>
      <c r="K642" s="79" t="str">
        <f t="shared" si="127"/>
        <v>#REF!</v>
      </c>
      <c r="L642" s="27" t="s">
        <v>3515</v>
      </c>
      <c r="M642" s="27" t="str">
        <f t="shared" si="128"/>
        <v>};</v>
      </c>
      <c r="P642" s="78"/>
      <c r="Q642" s="6">
        <v>0.0</v>
      </c>
    </row>
    <row r="643" ht="12.0" customHeight="1">
      <c r="A643" s="22"/>
      <c r="B643" s="27" t="str">
        <f t="shared" si="125"/>
        <v>#REF!</v>
      </c>
      <c r="C643" s="27"/>
      <c r="D643" s="27"/>
      <c r="E643" s="27"/>
      <c r="F643" s="27"/>
      <c r="G643" s="27" t="s">
        <v>3512</v>
      </c>
      <c r="H643" s="27" t="str">
        <f t="shared" si="126"/>
        <v>#REF!</v>
      </c>
      <c r="I643" s="27" t="s">
        <v>3515</v>
      </c>
      <c r="J643" s="27" t="s">
        <v>3516</v>
      </c>
      <c r="K643" s="79" t="str">
        <f t="shared" si="127"/>
        <v>#REF!</v>
      </c>
      <c r="L643" s="27" t="s">
        <v>3515</v>
      </c>
      <c r="M643" s="27" t="str">
        <f t="shared" si="128"/>
        <v>};</v>
      </c>
      <c r="P643" s="78"/>
      <c r="Q643" s="6">
        <v>0.0</v>
      </c>
    </row>
    <row r="644" ht="12.0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P644" s="78"/>
    </row>
    <row r="645" ht="12.0" customHeight="1">
      <c r="A645" s="27"/>
      <c r="B645" s="22" t="s">
        <v>174</v>
      </c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90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2.0" customHeight="1">
      <c r="A646" s="22"/>
      <c r="B646" s="22" t="s">
        <v>3952</v>
      </c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P646" s="78"/>
    </row>
    <row r="647" ht="12.0" customHeight="1">
      <c r="A647" s="22"/>
      <c r="B647" s="22" t="s">
        <v>174</v>
      </c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P647" s="78"/>
    </row>
    <row r="648" ht="12.0" customHeight="1">
      <c r="A648" s="22"/>
      <c r="B648" s="27" t="str">
        <f t="shared" ref="B648:B649" si="129">'Exile INPUT'!C616</f>
        <v>#REF!</v>
      </c>
      <c r="C648" s="27"/>
      <c r="D648" s="27"/>
      <c r="E648" s="27"/>
      <c r="F648" s="27"/>
      <c r="G648" s="27" t="s">
        <v>3512</v>
      </c>
      <c r="H648" s="27" t="str">
        <f t="shared" ref="H648:H649" si="130">'Exile INPUT'!F616</f>
        <v>#REF!</v>
      </c>
      <c r="I648" s="27" t="s">
        <v>3515</v>
      </c>
      <c r="J648" s="27" t="s">
        <v>3516</v>
      </c>
      <c r="K648" s="79" t="str">
        <f t="shared" ref="K648:K649" si="131">'Exile INPUT'!J616</f>
        <v>#REF!</v>
      </c>
      <c r="L648" s="27" t="s">
        <v>3515</v>
      </c>
      <c r="M648" s="27" t="str">
        <f t="shared" ref="M648:M649" si="132">IF(Q648 = 0, "};",CONCATENATE("sellPrice = ",Q648,"; };"))</f>
        <v>};</v>
      </c>
      <c r="P648" s="78"/>
      <c r="Q648" s="6">
        <v>0.0</v>
      </c>
    </row>
    <row r="649" ht="12.0" customHeight="1">
      <c r="A649" s="22"/>
      <c r="B649" s="27" t="str">
        <f t="shared" si="129"/>
        <v>#REF!</v>
      </c>
      <c r="C649" s="27"/>
      <c r="D649" s="27"/>
      <c r="E649" s="27"/>
      <c r="F649" s="27"/>
      <c r="G649" s="27" t="s">
        <v>3512</v>
      </c>
      <c r="H649" s="27" t="str">
        <f t="shared" si="130"/>
        <v>#REF!</v>
      </c>
      <c r="I649" s="27" t="s">
        <v>3515</v>
      </c>
      <c r="J649" s="27" t="s">
        <v>3516</v>
      </c>
      <c r="K649" s="79" t="str">
        <f t="shared" si="131"/>
        <v>#REF!</v>
      </c>
      <c r="L649" s="27" t="s">
        <v>3515</v>
      </c>
      <c r="M649" s="27" t="str">
        <f t="shared" si="132"/>
        <v>};</v>
      </c>
      <c r="P649" s="78"/>
      <c r="Q649" s="6">
        <v>0.0</v>
      </c>
    </row>
    <row r="650" ht="12.0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79"/>
      <c r="L650" s="27"/>
      <c r="M650" s="27"/>
      <c r="N650" s="27"/>
      <c r="O650" s="27"/>
      <c r="P650" s="90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2.0" customHeight="1">
      <c r="A651" s="27"/>
      <c r="B651" s="22" t="s">
        <v>174</v>
      </c>
      <c r="C651" s="27"/>
      <c r="D651" s="27"/>
      <c r="E651" s="27"/>
      <c r="F651" s="27"/>
      <c r="G651" s="27"/>
      <c r="H651" s="27"/>
      <c r="I651" s="27"/>
      <c r="J651" s="27"/>
      <c r="K651" s="79"/>
      <c r="L651" s="27"/>
      <c r="M651" s="27"/>
      <c r="N651" s="27"/>
      <c r="O651" s="27"/>
      <c r="P651" s="90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2.0" customHeight="1">
      <c r="A652" s="27"/>
      <c r="B652" s="22" t="s">
        <v>3953</v>
      </c>
      <c r="C652" s="27"/>
      <c r="D652" s="27"/>
      <c r="E652" s="27"/>
      <c r="F652" s="27"/>
      <c r="G652" s="27"/>
      <c r="H652" s="27"/>
      <c r="I652" s="27"/>
      <c r="J652" s="27"/>
      <c r="K652" s="79"/>
      <c r="L652" s="27"/>
      <c r="M652" s="27"/>
      <c r="N652" s="27"/>
      <c r="O652" s="27"/>
      <c r="P652" s="90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2.0" customHeight="1">
      <c r="A653" s="22"/>
      <c r="B653" s="22" t="s">
        <v>174</v>
      </c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P653" s="78"/>
    </row>
    <row r="654" ht="12.0" customHeight="1">
      <c r="A654" s="22"/>
      <c r="B654" s="27" t="str">
        <f t="shared" ref="B654:B662" si="133">'Exile INPUT'!C619</f>
        <v>#REF!</v>
      </c>
      <c r="C654" s="27"/>
      <c r="D654" s="27"/>
      <c r="E654" s="27"/>
      <c r="F654" s="27"/>
      <c r="G654" s="27" t="s">
        <v>3512</v>
      </c>
      <c r="H654" s="27" t="str">
        <f t="shared" ref="H654:H662" si="134">'Exile INPUT'!F619</f>
        <v>#REF!</v>
      </c>
      <c r="I654" s="27" t="s">
        <v>3515</v>
      </c>
      <c r="J654" s="27" t="s">
        <v>3516</v>
      </c>
      <c r="K654" s="79" t="str">
        <f t="shared" ref="K654:K662" si="135">'Exile INPUT'!J619</f>
        <v>#REF!</v>
      </c>
      <c r="L654" s="27" t="s">
        <v>3515</v>
      </c>
      <c r="M654" s="27" t="str">
        <f t="shared" ref="M654:M662" si="136">IF(Q654 = 0, "};",CONCATENATE("sellPrice = ",Q654,"; };"))</f>
        <v>#REF!</v>
      </c>
      <c r="P654" s="78"/>
      <c r="Q654" s="6" t="str">
        <f t="shared" ref="Q654:Q662" si="137">K654*$X$12</f>
        <v>#REF!</v>
      </c>
    </row>
    <row r="655" ht="12.0" customHeight="1">
      <c r="A655" s="22"/>
      <c r="B655" s="27" t="str">
        <f t="shared" si="133"/>
        <v>#REF!</v>
      </c>
      <c r="C655" s="27"/>
      <c r="D655" s="27"/>
      <c r="E655" s="27"/>
      <c r="F655" s="27"/>
      <c r="G655" s="27" t="s">
        <v>3512</v>
      </c>
      <c r="H655" s="27" t="str">
        <f t="shared" si="134"/>
        <v>#REF!</v>
      </c>
      <c r="I655" s="27" t="s">
        <v>3515</v>
      </c>
      <c r="J655" s="27" t="s">
        <v>3516</v>
      </c>
      <c r="K655" s="79" t="str">
        <f t="shared" si="135"/>
        <v>#REF!</v>
      </c>
      <c r="L655" s="27" t="s">
        <v>3515</v>
      </c>
      <c r="M655" s="27" t="str">
        <f t="shared" si="136"/>
        <v>#REF!</v>
      </c>
      <c r="P655" s="78"/>
      <c r="Q655" s="6" t="str">
        <f t="shared" si="137"/>
        <v>#REF!</v>
      </c>
    </row>
    <row r="656" ht="12.0" customHeight="1">
      <c r="A656" s="22"/>
      <c r="B656" s="27" t="str">
        <f t="shared" si="133"/>
        <v>#REF!</v>
      </c>
      <c r="C656" s="27"/>
      <c r="D656" s="27"/>
      <c r="E656" s="27"/>
      <c r="F656" s="27"/>
      <c r="G656" s="27" t="s">
        <v>3512</v>
      </c>
      <c r="H656" s="27" t="str">
        <f t="shared" si="134"/>
        <v>#REF!</v>
      </c>
      <c r="I656" s="27" t="s">
        <v>3515</v>
      </c>
      <c r="J656" s="27" t="s">
        <v>3516</v>
      </c>
      <c r="K656" s="79" t="str">
        <f t="shared" si="135"/>
        <v>#REF!</v>
      </c>
      <c r="L656" s="27" t="s">
        <v>3515</v>
      </c>
      <c r="M656" s="27" t="str">
        <f t="shared" si="136"/>
        <v>#REF!</v>
      </c>
      <c r="P656" s="78"/>
      <c r="Q656" s="6" t="str">
        <f t="shared" si="137"/>
        <v>#REF!</v>
      </c>
    </row>
    <row r="657" ht="12.0" customHeight="1">
      <c r="A657" s="22"/>
      <c r="B657" s="27" t="str">
        <f t="shared" si="133"/>
        <v>#REF!</v>
      </c>
      <c r="C657" s="27"/>
      <c r="D657" s="27"/>
      <c r="E657" s="27"/>
      <c r="F657" s="27"/>
      <c r="G657" s="27" t="s">
        <v>3512</v>
      </c>
      <c r="H657" s="27" t="str">
        <f t="shared" si="134"/>
        <v>#REF!</v>
      </c>
      <c r="I657" s="27" t="s">
        <v>3515</v>
      </c>
      <c r="J657" s="27" t="s">
        <v>3516</v>
      </c>
      <c r="K657" s="79" t="str">
        <f t="shared" si="135"/>
        <v>#REF!</v>
      </c>
      <c r="L657" s="27" t="s">
        <v>3515</v>
      </c>
      <c r="M657" s="27" t="str">
        <f t="shared" si="136"/>
        <v>#REF!</v>
      </c>
      <c r="P657" s="78"/>
      <c r="Q657" s="6" t="str">
        <f t="shared" si="137"/>
        <v>#REF!</v>
      </c>
    </row>
    <row r="658" ht="12.0" customHeight="1">
      <c r="A658" s="22"/>
      <c r="B658" s="27" t="str">
        <f t="shared" si="133"/>
        <v>#REF!</v>
      </c>
      <c r="C658" s="27"/>
      <c r="D658" s="27"/>
      <c r="E658" s="27"/>
      <c r="F658" s="27"/>
      <c r="G658" s="27" t="s">
        <v>3512</v>
      </c>
      <c r="H658" s="27" t="str">
        <f t="shared" si="134"/>
        <v>#REF!</v>
      </c>
      <c r="I658" s="27" t="s">
        <v>3515</v>
      </c>
      <c r="J658" s="27" t="s">
        <v>3516</v>
      </c>
      <c r="K658" s="79" t="str">
        <f t="shared" si="135"/>
        <v>#REF!</v>
      </c>
      <c r="L658" s="27" t="s">
        <v>3515</v>
      </c>
      <c r="M658" s="27" t="str">
        <f t="shared" si="136"/>
        <v>#REF!</v>
      </c>
      <c r="P658" s="78"/>
      <c r="Q658" s="6" t="str">
        <f t="shared" si="137"/>
        <v>#REF!</v>
      </c>
    </row>
    <row r="659" ht="12.0" customHeight="1">
      <c r="A659" s="22"/>
      <c r="B659" s="27" t="str">
        <f t="shared" si="133"/>
        <v>#REF!</v>
      </c>
      <c r="C659" s="27"/>
      <c r="D659" s="27"/>
      <c r="E659" s="27"/>
      <c r="F659" s="27"/>
      <c r="G659" s="27" t="s">
        <v>3512</v>
      </c>
      <c r="H659" s="27" t="str">
        <f t="shared" si="134"/>
        <v>#REF!</v>
      </c>
      <c r="I659" s="27" t="s">
        <v>3515</v>
      </c>
      <c r="J659" s="27" t="s">
        <v>3516</v>
      </c>
      <c r="K659" s="79" t="str">
        <f t="shared" si="135"/>
        <v>#REF!</v>
      </c>
      <c r="L659" s="27" t="s">
        <v>3515</v>
      </c>
      <c r="M659" s="27" t="str">
        <f t="shared" si="136"/>
        <v>#REF!</v>
      </c>
      <c r="P659" s="78"/>
      <c r="Q659" s="6" t="str">
        <f t="shared" si="137"/>
        <v>#REF!</v>
      </c>
    </row>
    <row r="660" ht="12.0" customHeight="1">
      <c r="A660" s="22"/>
      <c r="B660" s="27" t="str">
        <f t="shared" si="133"/>
        <v>#REF!</v>
      </c>
      <c r="C660" s="27"/>
      <c r="D660" s="27"/>
      <c r="E660" s="27"/>
      <c r="F660" s="27"/>
      <c r="G660" s="27" t="s">
        <v>3512</v>
      </c>
      <c r="H660" s="27" t="str">
        <f t="shared" si="134"/>
        <v>#REF!</v>
      </c>
      <c r="I660" s="27" t="s">
        <v>3515</v>
      </c>
      <c r="J660" s="27" t="s">
        <v>3516</v>
      </c>
      <c r="K660" s="79" t="str">
        <f t="shared" si="135"/>
        <v>#REF!</v>
      </c>
      <c r="L660" s="27" t="s">
        <v>3515</v>
      </c>
      <c r="M660" s="27" t="str">
        <f t="shared" si="136"/>
        <v>#REF!</v>
      </c>
      <c r="P660" s="78"/>
      <c r="Q660" s="6" t="str">
        <f t="shared" si="137"/>
        <v>#REF!</v>
      </c>
    </row>
    <row r="661" ht="12.0" customHeight="1">
      <c r="A661" s="22"/>
      <c r="B661" s="27" t="str">
        <f t="shared" si="133"/>
        <v>#REF!</v>
      </c>
      <c r="C661" s="27"/>
      <c r="D661" s="27"/>
      <c r="E661" s="27"/>
      <c r="F661" s="27"/>
      <c r="G661" s="27" t="s">
        <v>3512</v>
      </c>
      <c r="H661" s="27" t="str">
        <f t="shared" si="134"/>
        <v>#REF!</v>
      </c>
      <c r="I661" s="27" t="s">
        <v>3515</v>
      </c>
      <c r="J661" s="27" t="s">
        <v>3516</v>
      </c>
      <c r="K661" s="79" t="str">
        <f t="shared" si="135"/>
        <v>#REF!</v>
      </c>
      <c r="L661" s="27" t="s">
        <v>3515</v>
      </c>
      <c r="M661" s="27" t="str">
        <f t="shared" si="136"/>
        <v>#REF!</v>
      </c>
      <c r="P661" s="78"/>
      <c r="Q661" s="6" t="str">
        <f t="shared" si="137"/>
        <v>#REF!</v>
      </c>
    </row>
    <row r="662" ht="12.0" customHeight="1">
      <c r="A662" s="22"/>
      <c r="B662" s="27" t="str">
        <f t="shared" si="133"/>
        <v>#REF!</v>
      </c>
      <c r="C662" s="27"/>
      <c r="D662" s="27"/>
      <c r="E662" s="27"/>
      <c r="F662" s="27"/>
      <c r="G662" s="27" t="s">
        <v>3512</v>
      </c>
      <c r="H662" s="27" t="str">
        <f t="shared" si="134"/>
        <v>#REF!</v>
      </c>
      <c r="I662" s="27" t="s">
        <v>3515</v>
      </c>
      <c r="J662" s="27" t="s">
        <v>3516</v>
      </c>
      <c r="K662" s="79" t="str">
        <f t="shared" si="135"/>
        <v>#REF!</v>
      </c>
      <c r="L662" s="27" t="s">
        <v>3515</v>
      </c>
      <c r="M662" s="27" t="str">
        <f t="shared" si="136"/>
        <v>#REF!</v>
      </c>
      <c r="P662" s="78"/>
      <c r="Q662" s="6" t="str">
        <f t="shared" si="137"/>
        <v>#REF!</v>
      </c>
    </row>
    <row r="663" ht="12.0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79"/>
      <c r="L663" s="27"/>
      <c r="M663" s="27"/>
      <c r="N663" s="27"/>
      <c r="O663" s="27"/>
      <c r="P663" s="90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2.0" customHeight="1">
      <c r="A664" s="27"/>
      <c r="B664" s="22" t="s">
        <v>174</v>
      </c>
      <c r="C664" s="27"/>
      <c r="D664" s="27"/>
      <c r="E664" s="27"/>
      <c r="F664" s="27"/>
      <c r="G664" s="27"/>
      <c r="H664" s="27"/>
      <c r="I664" s="27"/>
      <c r="J664" s="27"/>
      <c r="K664" s="79"/>
      <c r="L664" s="27"/>
      <c r="M664" s="27"/>
      <c r="N664" s="27"/>
      <c r="O664" s="27"/>
      <c r="P664" s="90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2.0" customHeight="1">
      <c r="A665" s="27"/>
      <c r="B665" s="22" t="s">
        <v>3954</v>
      </c>
      <c r="C665" s="27"/>
      <c r="D665" s="27"/>
      <c r="E665" s="27"/>
      <c r="F665" s="27"/>
      <c r="G665" s="27"/>
      <c r="H665" s="27"/>
      <c r="I665" s="27"/>
      <c r="J665" s="27"/>
      <c r="K665" s="79"/>
      <c r="L665" s="27"/>
      <c r="M665" s="27"/>
      <c r="N665" s="27"/>
      <c r="O665" s="27"/>
      <c r="P665" s="90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2.0" customHeight="1">
      <c r="A666" s="22"/>
      <c r="B666" s="22" t="s">
        <v>174</v>
      </c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P666" s="78"/>
    </row>
    <row r="667" ht="12.0" customHeight="1">
      <c r="A667" s="22"/>
      <c r="B667" s="27" t="str">
        <f t="shared" ref="B667:B675" si="138">'Exile INPUT'!C629</f>
        <v>#REF!</v>
      </c>
      <c r="C667" s="27"/>
      <c r="D667" s="27"/>
      <c r="E667" s="27"/>
      <c r="F667" s="27"/>
      <c r="G667" s="27" t="s">
        <v>3512</v>
      </c>
      <c r="H667" s="27" t="str">
        <f t="shared" ref="H667:H675" si="139">'Exile INPUT'!F629</f>
        <v>#REF!</v>
      </c>
      <c r="I667" s="27" t="s">
        <v>3515</v>
      </c>
      <c r="J667" s="27" t="s">
        <v>3516</v>
      </c>
      <c r="K667" s="79" t="str">
        <f t="shared" ref="K667:K675" si="140">'Exile INPUT'!J629</f>
        <v>#REF!</v>
      </c>
      <c r="L667" s="27" t="s">
        <v>3515</v>
      </c>
      <c r="M667" s="27" t="str">
        <f t="shared" ref="M667:M675" si="141">IF(Q667 = 0, "};",CONCATENATE("sellPrice = ",Q667,"; };"))</f>
        <v>#REF!</v>
      </c>
      <c r="P667" s="78"/>
      <c r="Q667" s="6" t="str">
        <f t="shared" ref="Q667:Q675" si="142">K667*$X$12</f>
        <v>#REF!</v>
      </c>
    </row>
    <row r="668" ht="12.0" customHeight="1">
      <c r="A668" s="22"/>
      <c r="B668" s="27" t="str">
        <f t="shared" si="138"/>
        <v>#REF!</v>
      </c>
      <c r="C668" s="27"/>
      <c r="D668" s="27"/>
      <c r="E668" s="27"/>
      <c r="F668" s="27"/>
      <c r="G668" s="27" t="s">
        <v>3512</v>
      </c>
      <c r="H668" s="27" t="str">
        <f t="shared" si="139"/>
        <v>#REF!</v>
      </c>
      <c r="I668" s="27" t="s">
        <v>3515</v>
      </c>
      <c r="J668" s="27" t="s">
        <v>3516</v>
      </c>
      <c r="K668" s="79" t="str">
        <f t="shared" si="140"/>
        <v>#REF!</v>
      </c>
      <c r="L668" s="27" t="s">
        <v>3515</v>
      </c>
      <c r="M668" s="27" t="str">
        <f t="shared" si="141"/>
        <v>#REF!</v>
      </c>
      <c r="P668" s="78"/>
      <c r="Q668" s="6" t="str">
        <f t="shared" si="142"/>
        <v>#REF!</v>
      </c>
    </row>
    <row r="669" ht="12.0" customHeight="1">
      <c r="A669" s="22"/>
      <c r="B669" s="27" t="str">
        <f t="shared" si="138"/>
        <v>#REF!</v>
      </c>
      <c r="C669" s="27"/>
      <c r="D669" s="27"/>
      <c r="E669" s="27"/>
      <c r="F669" s="27"/>
      <c r="G669" s="27" t="s">
        <v>3512</v>
      </c>
      <c r="H669" s="27" t="str">
        <f t="shared" si="139"/>
        <v>#REF!</v>
      </c>
      <c r="I669" s="27" t="s">
        <v>3515</v>
      </c>
      <c r="J669" s="27" t="s">
        <v>3516</v>
      </c>
      <c r="K669" s="79" t="str">
        <f t="shared" si="140"/>
        <v>#REF!</v>
      </c>
      <c r="L669" s="27" t="s">
        <v>3515</v>
      </c>
      <c r="M669" s="27" t="str">
        <f t="shared" si="141"/>
        <v>#REF!</v>
      </c>
      <c r="P669" s="78"/>
      <c r="Q669" s="6" t="str">
        <f t="shared" si="142"/>
        <v>#REF!</v>
      </c>
    </row>
    <row r="670" ht="12.0" customHeight="1">
      <c r="A670" s="22"/>
      <c r="B670" s="27" t="str">
        <f t="shared" si="138"/>
        <v>#REF!</v>
      </c>
      <c r="C670" s="27"/>
      <c r="D670" s="27"/>
      <c r="E670" s="27"/>
      <c r="F670" s="27"/>
      <c r="G670" s="27" t="s">
        <v>3512</v>
      </c>
      <c r="H670" s="27" t="str">
        <f t="shared" si="139"/>
        <v>#REF!</v>
      </c>
      <c r="I670" s="27" t="s">
        <v>3515</v>
      </c>
      <c r="J670" s="27" t="s">
        <v>3516</v>
      </c>
      <c r="K670" s="79" t="str">
        <f t="shared" si="140"/>
        <v>#REF!</v>
      </c>
      <c r="L670" s="27" t="s">
        <v>3515</v>
      </c>
      <c r="M670" s="27" t="str">
        <f t="shared" si="141"/>
        <v>#REF!</v>
      </c>
      <c r="P670" s="78"/>
      <c r="Q670" s="6" t="str">
        <f t="shared" si="142"/>
        <v>#REF!</v>
      </c>
    </row>
    <row r="671" ht="12.0" customHeight="1">
      <c r="A671" s="22"/>
      <c r="B671" s="27" t="str">
        <f t="shared" si="138"/>
        <v>#REF!</v>
      </c>
      <c r="C671" s="27"/>
      <c r="D671" s="27"/>
      <c r="E671" s="27"/>
      <c r="F671" s="27"/>
      <c r="G671" s="27" t="s">
        <v>3512</v>
      </c>
      <c r="H671" s="27" t="str">
        <f t="shared" si="139"/>
        <v>#REF!</v>
      </c>
      <c r="I671" s="27" t="s">
        <v>3515</v>
      </c>
      <c r="J671" s="27" t="s">
        <v>3516</v>
      </c>
      <c r="K671" s="79" t="str">
        <f t="shared" si="140"/>
        <v>#REF!</v>
      </c>
      <c r="L671" s="27" t="s">
        <v>3515</v>
      </c>
      <c r="M671" s="27" t="str">
        <f t="shared" si="141"/>
        <v>#REF!</v>
      </c>
      <c r="P671" s="78"/>
      <c r="Q671" s="6" t="str">
        <f t="shared" si="142"/>
        <v>#REF!</v>
      </c>
    </row>
    <row r="672" ht="12.0" customHeight="1">
      <c r="A672" s="22"/>
      <c r="B672" s="27" t="str">
        <f t="shared" si="138"/>
        <v>#REF!</v>
      </c>
      <c r="C672" s="27"/>
      <c r="D672" s="27"/>
      <c r="E672" s="27"/>
      <c r="F672" s="27"/>
      <c r="G672" s="27" t="s">
        <v>3512</v>
      </c>
      <c r="H672" s="27" t="str">
        <f t="shared" si="139"/>
        <v>#REF!</v>
      </c>
      <c r="I672" s="27" t="s">
        <v>3515</v>
      </c>
      <c r="J672" s="27" t="s">
        <v>3516</v>
      </c>
      <c r="K672" s="79" t="str">
        <f t="shared" si="140"/>
        <v>#REF!</v>
      </c>
      <c r="L672" s="27" t="s">
        <v>3515</v>
      </c>
      <c r="M672" s="27" t="str">
        <f t="shared" si="141"/>
        <v>#REF!</v>
      </c>
      <c r="P672" s="78"/>
      <c r="Q672" s="6" t="str">
        <f t="shared" si="142"/>
        <v>#REF!</v>
      </c>
    </row>
    <row r="673" ht="12.0" customHeight="1">
      <c r="A673" s="22"/>
      <c r="B673" s="27" t="str">
        <f t="shared" si="138"/>
        <v>#REF!</v>
      </c>
      <c r="C673" s="27"/>
      <c r="D673" s="27"/>
      <c r="E673" s="27"/>
      <c r="F673" s="27"/>
      <c r="G673" s="27" t="s">
        <v>3512</v>
      </c>
      <c r="H673" s="27" t="str">
        <f t="shared" si="139"/>
        <v>#REF!</v>
      </c>
      <c r="I673" s="27" t="s">
        <v>3515</v>
      </c>
      <c r="J673" s="27" t="s">
        <v>3516</v>
      </c>
      <c r="K673" s="79" t="str">
        <f t="shared" si="140"/>
        <v>#REF!</v>
      </c>
      <c r="L673" s="27" t="s">
        <v>3515</v>
      </c>
      <c r="M673" s="27" t="str">
        <f t="shared" si="141"/>
        <v>#REF!</v>
      </c>
      <c r="P673" s="78"/>
      <c r="Q673" s="6" t="str">
        <f t="shared" si="142"/>
        <v>#REF!</v>
      </c>
    </row>
    <row r="674" ht="12.0" customHeight="1">
      <c r="A674" s="22"/>
      <c r="B674" s="27" t="str">
        <f t="shared" si="138"/>
        <v>#REF!</v>
      </c>
      <c r="C674" s="27"/>
      <c r="D674" s="27"/>
      <c r="E674" s="27"/>
      <c r="F674" s="27"/>
      <c r="G674" s="27" t="s">
        <v>3512</v>
      </c>
      <c r="H674" s="27" t="str">
        <f t="shared" si="139"/>
        <v>#REF!</v>
      </c>
      <c r="I674" s="27" t="s">
        <v>3515</v>
      </c>
      <c r="J674" s="27" t="s">
        <v>3516</v>
      </c>
      <c r="K674" s="79" t="str">
        <f t="shared" si="140"/>
        <v>#REF!</v>
      </c>
      <c r="L674" s="27" t="s">
        <v>3515</v>
      </c>
      <c r="M674" s="27" t="str">
        <f t="shared" si="141"/>
        <v>#REF!</v>
      </c>
      <c r="P674" s="78"/>
      <c r="Q674" s="6" t="str">
        <f t="shared" si="142"/>
        <v>#REF!</v>
      </c>
    </row>
    <row r="675" ht="12.0" customHeight="1">
      <c r="A675" s="22"/>
      <c r="B675" s="27" t="str">
        <f t="shared" si="138"/>
        <v>#REF!</v>
      </c>
      <c r="C675" s="27"/>
      <c r="D675" s="27"/>
      <c r="E675" s="27"/>
      <c r="F675" s="27"/>
      <c r="G675" s="27" t="s">
        <v>3512</v>
      </c>
      <c r="H675" s="27" t="str">
        <f t="shared" si="139"/>
        <v>#REF!</v>
      </c>
      <c r="I675" s="27" t="s">
        <v>3515</v>
      </c>
      <c r="J675" s="27" t="s">
        <v>3516</v>
      </c>
      <c r="K675" s="79" t="str">
        <f t="shared" si="140"/>
        <v>#REF!</v>
      </c>
      <c r="L675" s="27" t="s">
        <v>3515</v>
      </c>
      <c r="M675" s="27" t="str">
        <f t="shared" si="141"/>
        <v>#REF!</v>
      </c>
      <c r="P675" s="78"/>
      <c r="Q675" s="6" t="str">
        <f t="shared" si="142"/>
        <v>#REF!</v>
      </c>
    </row>
    <row r="676" ht="12.0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79"/>
      <c r="L676" s="27"/>
      <c r="M676" s="27"/>
      <c r="N676" s="27"/>
      <c r="O676" s="27"/>
      <c r="P676" s="90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2.0" customHeight="1">
      <c r="A677" s="27"/>
      <c r="B677" s="22" t="s">
        <v>174</v>
      </c>
      <c r="C677" s="27"/>
      <c r="D677" s="27"/>
      <c r="E677" s="27"/>
      <c r="F677" s="27"/>
      <c r="G677" s="27"/>
      <c r="H677" s="27"/>
      <c r="I677" s="27"/>
      <c r="J677" s="27"/>
      <c r="K677" s="79"/>
      <c r="L677" s="27"/>
      <c r="M677" s="27"/>
      <c r="N677" s="27"/>
      <c r="O677" s="27"/>
      <c r="P677" s="90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2.0" customHeight="1">
      <c r="A678" s="27"/>
      <c r="B678" s="22" t="s">
        <v>3955</v>
      </c>
      <c r="C678" s="27"/>
      <c r="D678" s="27"/>
      <c r="E678" s="27"/>
      <c r="F678" s="27"/>
      <c r="G678" s="27"/>
      <c r="H678" s="27"/>
      <c r="I678" s="27"/>
      <c r="J678" s="27"/>
      <c r="K678" s="79"/>
      <c r="L678" s="27"/>
      <c r="M678" s="27"/>
      <c r="N678" s="27"/>
      <c r="O678" s="27"/>
      <c r="P678" s="90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2.0" customHeight="1">
      <c r="A679" s="22"/>
      <c r="B679" s="22" t="s">
        <v>174</v>
      </c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P679" s="78"/>
    </row>
    <row r="680" ht="12.0" customHeight="1">
      <c r="A680" s="22"/>
      <c r="B680" s="27" t="str">
        <f t="shared" ref="B680:B684" si="143">'Exile INPUT'!C639</f>
        <v>#REF!</v>
      </c>
      <c r="C680" s="27"/>
      <c r="D680" s="27"/>
      <c r="E680" s="27"/>
      <c r="F680" s="27"/>
      <c r="G680" s="27" t="s">
        <v>3512</v>
      </c>
      <c r="H680" s="27" t="str">
        <f t="shared" ref="H680:H684" si="144">'Exile INPUT'!F639</f>
        <v>#REF!</v>
      </c>
      <c r="I680" s="27" t="s">
        <v>3515</v>
      </c>
      <c r="J680" s="27" t="s">
        <v>3516</v>
      </c>
      <c r="K680" s="79" t="str">
        <f t="shared" ref="K680:K684" si="145">'Exile INPUT'!J639</f>
        <v>#REF!</v>
      </c>
      <c r="L680" s="27" t="s">
        <v>3515</v>
      </c>
      <c r="M680" s="27" t="str">
        <f t="shared" ref="M680:M684" si="146">IF(Q680 = 0, "};",CONCATENATE("sellPrice = ",Q680,"; };"))</f>
        <v>#REF!</v>
      </c>
      <c r="P680" s="78"/>
      <c r="Q680" s="6" t="str">
        <f t="shared" ref="Q680:Q684" si="147">K680*$X$12</f>
        <v>#REF!</v>
      </c>
    </row>
    <row r="681" ht="12.0" customHeight="1">
      <c r="A681" s="22"/>
      <c r="B681" s="27" t="str">
        <f t="shared" si="143"/>
        <v>#REF!</v>
      </c>
      <c r="C681" s="27"/>
      <c r="D681" s="27"/>
      <c r="E681" s="27"/>
      <c r="F681" s="27"/>
      <c r="G681" s="27" t="s">
        <v>3512</v>
      </c>
      <c r="H681" s="27" t="str">
        <f t="shared" si="144"/>
        <v>#REF!</v>
      </c>
      <c r="I681" s="27" t="s">
        <v>3515</v>
      </c>
      <c r="J681" s="27" t="s">
        <v>3516</v>
      </c>
      <c r="K681" s="79" t="str">
        <f t="shared" si="145"/>
        <v>#REF!</v>
      </c>
      <c r="L681" s="27" t="s">
        <v>3515</v>
      </c>
      <c r="M681" s="27" t="str">
        <f t="shared" si="146"/>
        <v>#REF!</v>
      </c>
      <c r="P681" s="78"/>
      <c r="Q681" s="6" t="str">
        <f t="shared" si="147"/>
        <v>#REF!</v>
      </c>
    </row>
    <row r="682" ht="12.0" customHeight="1">
      <c r="A682" s="22"/>
      <c r="B682" s="27" t="str">
        <f t="shared" si="143"/>
        <v>#REF!</v>
      </c>
      <c r="C682" s="27"/>
      <c r="D682" s="27"/>
      <c r="E682" s="27"/>
      <c r="F682" s="27"/>
      <c r="G682" s="27" t="s">
        <v>3512</v>
      </c>
      <c r="H682" s="27" t="str">
        <f t="shared" si="144"/>
        <v>#REF!</v>
      </c>
      <c r="I682" s="27" t="s">
        <v>3515</v>
      </c>
      <c r="J682" s="27" t="s">
        <v>3516</v>
      </c>
      <c r="K682" s="79" t="str">
        <f t="shared" si="145"/>
        <v>#REF!</v>
      </c>
      <c r="L682" s="27" t="s">
        <v>3515</v>
      </c>
      <c r="M682" s="27" t="str">
        <f t="shared" si="146"/>
        <v>#REF!</v>
      </c>
      <c r="P682" s="78"/>
      <c r="Q682" s="6" t="str">
        <f t="shared" si="147"/>
        <v>#REF!</v>
      </c>
    </row>
    <row r="683" ht="12.0" customHeight="1">
      <c r="A683" s="22"/>
      <c r="B683" s="27" t="str">
        <f t="shared" si="143"/>
        <v>#REF!</v>
      </c>
      <c r="C683" s="27"/>
      <c r="D683" s="27"/>
      <c r="E683" s="27"/>
      <c r="F683" s="27"/>
      <c r="G683" s="27" t="s">
        <v>3512</v>
      </c>
      <c r="H683" s="27" t="str">
        <f t="shared" si="144"/>
        <v>#REF!</v>
      </c>
      <c r="I683" s="27" t="s">
        <v>3515</v>
      </c>
      <c r="J683" s="27" t="s">
        <v>3516</v>
      </c>
      <c r="K683" s="79" t="str">
        <f t="shared" si="145"/>
        <v>#REF!</v>
      </c>
      <c r="L683" s="27" t="s">
        <v>3515</v>
      </c>
      <c r="M683" s="27" t="str">
        <f t="shared" si="146"/>
        <v>#REF!</v>
      </c>
      <c r="P683" s="78"/>
      <c r="Q683" s="6" t="str">
        <f t="shared" si="147"/>
        <v>#REF!</v>
      </c>
    </row>
    <row r="684" ht="12.0" customHeight="1">
      <c r="A684" s="22"/>
      <c r="B684" s="27" t="str">
        <f t="shared" si="143"/>
        <v>#REF!</v>
      </c>
      <c r="C684" s="27"/>
      <c r="D684" s="27"/>
      <c r="E684" s="27"/>
      <c r="F684" s="27"/>
      <c r="G684" s="27" t="s">
        <v>3512</v>
      </c>
      <c r="H684" s="27" t="str">
        <f t="shared" si="144"/>
        <v>#REF!</v>
      </c>
      <c r="I684" s="27" t="s">
        <v>3515</v>
      </c>
      <c r="J684" s="27" t="s">
        <v>3516</v>
      </c>
      <c r="K684" s="79" t="str">
        <f t="shared" si="145"/>
        <v>#REF!</v>
      </c>
      <c r="L684" s="27" t="s">
        <v>3515</v>
      </c>
      <c r="M684" s="27" t="str">
        <f t="shared" si="146"/>
        <v>#REF!</v>
      </c>
      <c r="P684" s="78"/>
      <c r="Q684" s="6" t="str">
        <f t="shared" si="147"/>
        <v>#REF!</v>
      </c>
    </row>
    <row r="685" ht="12.0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79"/>
      <c r="L685" s="27"/>
      <c r="M685" s="27"/>
      <c r="N685" s="27"/>
      <c r="O685" s="27"/>
      <c r="P685" s="90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2.0" customHeight="1">
      <c r="A686" s="27"/>
      <c r="B686" s="22" t="s">
        <v>174</v>
      </c>
      <c r="C686" s="27"/>
      <c r="D686" s="27"/>
      <c r="E686" s="27"/>
      <c r="F686" s="27"/>
      <c r="G686" s="27"/>
      <c r="H686" s="27"/>
      <c r="I686" s="27"/>
      <c r="J686" s="27"/>
      <c r="K686" s="79"/>
      <c r="L686" s="27"/>
      <c r="M686" s="27"/>
      <c r="N686" s="27"/>
      <c r="O686" s="27"/>
      <c r="P686" s="90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2.0" customHeight="1">
      <c r="A687" s="27"/>
      <c r="B687" s="22" t="s">
        <v>3956</v>
      </c>
      <c r="C687" s="27"/>
      <c r="D687" s="27"/>
      <c r="E687" s="27"/>
      <c r="F687" s="27"/>
      <c r="G687" s="27"/>
      <c r="H687" s="27"/>
      <c r="I687" s="27"/>
      <c r="J687" s="27"/>
      <c r="K687" s="79"/>
      <c r="L687" s="27"/>
      <c r="M687" s="27"/>
      <c r="N687" s="27"/>
      <c r="O687" s="27"/>
      <c r="P687" s="90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2.0" customHeight="1">
      <c r="A688" s="22"/>
      <c r="B688" s="22" t="s">
        <v>174</v>
      </c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P688" s="78"/>
    </row>
    <row r="689" ht="12.0" customHeight="1">
      <c r="A689" s="22"/>
      <c r="B689" s="27" t="str">
        <f t="shared" ref="B689:B691" si="148">'Exile INPUT'!C645</f>
        <v>#REF!</v>
      </c>
      <c r="C689" s="27"/>
      <c r="D689" s="27"/>
      <c r="E689" s="27"/>
      <c r="F689" s="27"/>
      <c r="G689" s="27" t="s">
        <v>3512</v>
      </c>
      <c r="H689" s="27" t="str">
        <f t="shared" ref="H689:H691" si="149">'Exile INPUT'!F645</f>
        <v>#REF!</v>
      </c>
      <c r="I689" s="27" t="s">
        <v>3515</v>
      </c>
      <c r="J689" s="27" t="s">
        <v>3516</v>
      </c>
      <c r="K689" s="79" t="str">
        <f t="shared" ref="K689:K691" si="150">'Exile INPUT'!J645</f>
        <v>#REF!</v>
      </c>
      <c r="L689" s="27" t="s">
        <v>3515</v>
      </c>
      <c r="M689" s="27" t="str">
        <f t="shared" ref="M689:M691" si="151">IF(Q689 = 0, "};",CONCATENATE("sellPrice = ",Q689,"; };"))</f>
        <v>#REF!</v>
      </c>
      <c r="P689" s="78"/>
      <c r="Q689" s="6" t="str">
        <f t="shared" ref="Q689:Q691" si="152">K689*$X$12</f>
        <v>#REF!</v>
      </c>
    </row>
    <row r="690" ht="12.0" customHeight="1">
      <c r="A690" s="22"/>
      <c r="B690" s="27" t="str">
        <f t="shared" si="148"/>
        <v>#REF!</v>
      </c>
      <c r="C690" s="27"/>
      <c r="D690" s="27"/>
      <c r="E690" s="27"/>
      <c r="F690" s="27"/>
      <c r="G690" s="27" t="s">
        <v>3512</v>
      </c>
      <c r="H690" s="27" t="str">
        <f t="shared" si="149"/>
        <v>#REF!</v>
      </c>
      <c r="I690" s="27" t="s">
        <v>3515</v>
      </c>
      <c r="J690" s="27" t="s">
        <v>3516</v>
      </c>
      <c r="K690" s="79" t="str">
        <f t="shared" si="150"/>
        <v>#REF!</v>
      </c>
      <c r="L690" s="27" t="s">
        <v>3515</v>
      </c>
      <c r="M690" s="27" t="str">
        <f t="shared" si="151"/>
        <v>#REF!</v>
      </c>
      <c r="P690" s="78"/>
      <c r="Q690" s="6" t="str">
        <f t="shared" si="152"/>
        <v>#REF!</v>
      </c>
    </row>
    <row r="691" ht="12.0" customHeight="1">
      <c r="A691" s="22"/>
      <c r="B691" s="27" t="str">
        <f t="shared" si="148"/>
        <v>#REF!</v>
      </c>
      <c r="C691" s="27"/>
      <c r="D691" s="27"/>
      <c r="E691" s="27"/>
      <c r="F691" s="27"/>
      <c r="G691" s="27" t="s">
        <v>3512</v>
      </c>
      <c r="H691" s="27" t="str">
        <f t="shared" si="149"/>
        <v>#REF!</v>
      </c>
      <c r="I691" s="27" t="s">
        <v>3515</v>
      </c>
      <c r="J691" s="27" t="s">
        <v>3516</v>
      </c>
      <c r="K691" s="79" t="str">
        <f t="shared" si="150"/>
        <v>#REF!</v>
      </c>
      <c r="L691" s="27" t="s">
        <v>3515</v>
      </c>
      <c r="M691" s="27" t="str">
        <f t="shared" si="151"/>
        <v>#REF!</v>
      </c>
      <c r="P691" s="78"/>
      <c r="Q691" s="6" t="str">
        <f t="shared" si="152"/>
        <v>#REF!</v>
      </c>
    </row>
    <row r="692" ht="12.0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P692" s="78"/>
    </row>
    <row r="693" ht="12.0" customHeight="1">
      <c r="A693" s="22"/>
      <c r="B693" s="22" t="s">
        <v>174</v>
      </c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P693" s="78"/>
    </row>
    <row r="694" ht="12.0" customHeight="1">
      <c r="A694" s="22"/>
      <c r="B694" s="22" t="s">
        <v>3957</v>
      </c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P694" s="78"/>
    </row>
    <row r="695" ht="12.0" customHeight="1">
      <c r="A695" s="22"/>
      <c r="B695" s="22" t="s">
        <v>174</v>
      </c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P695" s="78"/>
    </row>
    <row r="696" ht="12.0" customHeight="1">
      <c r="A696" s="22"/>
      <c r="B696" s="27" t="str">
        <f t="shared" ref="B696:B707" si="153">'Exile INPUT'!C652</f>
        <v>#REF!</v>
      </c>
      <c r="C696" s="27"/>
      <c r="D696" s="27"/>
      <c r="E696" s="27"/>
      <c r="F696" s="27"/>
      <c r="G696" s="27" t="s">
        <v>3512</v>
      </c>
      <c r="H696" s="27" t="str">
        <f t="shared" ref="H696:H707" si="154">'Exile INPUT'!F652</f>
        <v>#REF!</v>
      </c>
      <c r="I696" s="27" t="s">
        <v>3515</v>
      </c>
      <c r="J696" s="27" t="s">
        <v>3516</v>
      </c>
      <c r="K696" s="79" t="str">
        <f t="shared" ref="K696:K707" si="155">'Exile INPUT'!J652</f>
        <v>#REF!</v>
      </c>
      <c r="L696" s="27" t="s">
        <v>3515</v>
      </c>
      <c r="M696" s="27" t="str">
        <f t="shared" ref="M696:M707" si="156">IF(Q696 = 0, "};",CONCATENATE("sellPrice = ",Q696,"; };"))</f>
        <v>#REF!</v>
      </c>
      <c r="P696" s="78"/>
      <c r="Q696" s="6" t="str">
        <f t="shared" ref="Q696:Q707" si="157">K696*$X$12</f>
        <v>#REF!</v>
      </c>
    </row>
    <row r="697" ht="12.0" customHeight="1">
      <c r="A697" s="22"/>
      <c r="B697" s="27" t="str">
        <f t="shared" si="153"/>
        <v>#REF!</v>
      </c>
      <c r="C697" s="27"/>
      <c r="D697" s="27"/>
      <c r="E697" s="27"/>
      <c r="F697" s="27"/>
      <c r="G697" s="27" t="s">
        <v>3512</v>
      </c>
      <c r="H697" s="27" t="str">
        <f t="shared" si="154"/>
        <v>#REF!</v>
      </c>
      <c r="I697" s="27" t="s">
        <v>3515</v>
      </c>
      <c r="J697" s="27" t="s">
        <v>3516</v>
      </c>
      <c r="K697" s="79" t="str">
        <f t="shared" si="155"/>
        <v>#REF!</v>
      </c>
      <c r="L697" s="27" t="s">
        <v>3515</v>
      </c>
      <c r="M697" s="27" t="str">
        <f t="shared" si="156"/>
        <v>#REF!</v>
      </c>
      <c r="P697" s="78"/>
      <c r="Q697" s="6" t="str">
        <f t="shared" si="157"/>
        <v>#REF!</v>
      </c>
    </row>
    <row r="698" ht="12.0" customHeight="1">
      <c r="A698" s="22"/>
      <c r="B698" s="27" t="str">
        <f t="shared" si="153"/>
        <v>#REF!</v>
      </c>
      <c r="C698" s="27"/>
      <c r="D698" s="27"/>
      <c r="E698" s="27"/>
      <c r="F698" s="27"/>
      <c r="G698" s="27" t="s">
        <v>3512</v>
      </c>
      <c r="H698" s="27" t="str">
        <f t="shared" si="154"/>
        <v>#REF!</v>
      </c>
      <c r="I698" s="27" t="s">
        <v>3515</v>
      </c>
      <c r="J698" s="27" t="s">
        <v>3516</v>
      </c>
      <c r="K698" s="79" t="str">
        <f t="shared" si="155"/>
        <v>#REF!</v>
      </c>
      <c r="L698" s="27" t="s">
        <v>3515</v>
      </c>
      <c r="M698" s="27" t="str">
        <f t="shared" si="156"/>
        <v>#REF!</v>
      </c>
      <c r="P698" s="78"/>
      <c r="Q698" s="6" t="str">
        <f t="shared" si="157"/>
        <v>#REF!</v>
      </c>
    </row>
    <row r="699" ht="12.0" customHeight="1">
      <c r="A699" s="22"/>
      <c r="B699" s="27" t="str">
        <f t="shared" si="153"/>
        <v>#REF!</v>
      </c>
      <c r="C699" s="27"/>
      <c r="D699" s="27"/>
      <c r="E699" s="27"/>
      <c r="F699" s="27"/>
      <c r="G699" s="27" t="s">
        <v>3512</v>
      </c>
      <c r="H699" s="27" t="str">
        <f t="shared" si="154"/>
        <v>#REF!</v>
      </c>
      <c r="I699" s="27" t="s">
        <v>3515</v>
      </c>
      <c r="J699" s="27" t="s">
        <v>3516</v>
      </c>
      <c r="K699" s="79" t="str">
        <f t="shared" si="155"/>
        <v>#REF!</v>
      </c>
      <c r="L699" s="27" t="s">
        <v>3515</v>
      </c>
      <c r="M699" s="27" t="str">
        <f t="shared" si="156"/>
        <v>#REF!</v>
      </c>
      <c r="P699" s="78"/>
      <c r="Q699" s="6" t="str">
        <f t="shared" si="157"/>
        <v>#REF!</v>
      </c>
    </row>
    <row r="700" ht="12.0" customHeight="1">
      <c r="A700" s="22"/>
      <c r="B700" s="27" t="str">
        <f t="shared" si="153"/>
        <v>#REF!</v>
      </c>
      <c r="C700" s="27"/>
      <c r="D700" s="27"/>
      <c r="E700" s="27"/>
      <c r="F700" s="27"/>
      <c r="G700" s="27" t="s">
        <v>3512</v>
      </c>
      <c r="H700" s="27" t="str">
        <f t="shared" si="154"/>
        <v>#REF!</v>
      </c>
      <c r="I700" s="27" t="s">
        <v>3515</v>
      </c>
      <c r="J700" s="27" t="s">
        <v>3516</v>
      </c>
      <c r="K700" s="79" t="str">
        <f t="shared" si="155"/>
        <v>#REF!</v>
      </c>
      <c r="L700" s="27" t="s">
        <v>3515</v>
      </c>
      <c r="M700" s="27" t="str">
        <f t="shared" si="156"/>
        <v>#REF!</v>
      </c>
      <c r="P700" s="78"/>
      <c r="Q700" s="6" t="str">
        <f t="shared" si="157"/>
        <v>#REF!</v>
      </c>
    </row>
    <row r="701" ht="12.0" customHeight="1">
      <c r="A701" s="22"/>
      <c r="B701" s="27" t="str">
        <f t="shared" si="153"/>
        <v>#REF!</v>
      </c>
      <c r="C701" s="27"/>
      <c r="D701" s="27"/>
      <c r="E701" s="27"/>
      <c r="F701" s="27"/>
      <c r="G701" s="27" t="s">
        <v>3512</v>
      </c>
      <c r="H701" s="27" t="str">
        <f t="shared" si="154"/>
        <v>#REF!</v>
      </c>
      <c r="I701" s="27" t="s">
        <v>3515</v>
      </c>
      <c r="J701" s="27" t="s">
        <v>3516</v>
      </c>
      <c r="K701" s="79" t="str">
        <f t="shared" si="155"/>
        <v>#REF!</v>
      </c>
      <c r="L701" s="27" t="s">
        <v>3515</v>
      </c>
      <c r="M701" s="27" t="str">
        <f t="shared" si="156"/>
        <v>#REF!</v>
      </c>
      <c r="P701" s="78"/>
      <c r="Q701" s="6" t="str">
        <f t="shared" si="157"/>
        <v>#REF!</v>
      </c>
    </row>
    <row r="702" ht="12.0" customHeight="1">
      <c r="A702" s="22"/>
      <c r="B702" s="27" t="str">
        <f t="shared" si="153"/>
        <v>#REF!</v>
      </c>
      <c r="C702" s="27"/>
      <c r="D702" s="27"/>
      <c r="E702" s="27"/>
      <c r="F702" s="27"/>
      <c r="G702" s="27" t="s">
        <v>3512</v>
      </c>
      <c r="H702" s="27" t="str">
        <f t="shared" si="154"/>
        <v>#REF!</v>
      </c>
      <c r="I702" s="27" t="s">
        <v>3515</v>
      </c>
      <c r="J702" s="27" t="s">
        <v>3516</v>
      </c>
      <c r="K702" s="79" t="str">
        <f t="shared" si="155"/>
        <v>#REF!</v>
      </c>
      <c r="L702" s="27" t="s">
        <v>3515</v>
      </c>
      <c r="M702" s="27" t="str">
        <f t="shared" si="156"/>
        <v>#REF!</v>
      </c>
      <c r="P702" s="78"/>
      <c r="Q702" s="6" t="str">
        <f t="shared" si="157"/>
        <v>#REF!</v>
      </c>
    </row>
    <row r="703" ht="12.0" customHeight="1">
      <c r="A703" s="22"/>
      <c r="B703" s="27" t="str">
        <f t="shared" si="153"/>
        <v>#REF!</v>
      </c>
      <c r="C703" s="27"/>
      <c r="D703" s="27"/>
      <c r="E703" s="27"/>
      <c r="F703" s="27"/>
      <c r="G703" s="27" t="s">
        <v>3512</v>
      </c>
      <c r="H703" s="27" t="str">
        <f t="shared" si="154"/>
        <v>#REF!</v>
      </c>
      <c r="I703" s="27" t="s">
        <v>3515</v>
      </c>
      <c r="J703" s="27" t="s">
        <v>3516</v>
      </c>
      <c r="K703" s="79" t="str">
        <f t="shared" si="155"/>
        <v>#REF!</v>
      </c>
      <c r="L703" s="27" t="s">
        <v>3515</v>
      </c>
      <c r="M703" s="27" t="str">
        <f t="shared" si="156"/>
        <v>#REF!</v>
      </c>
      <c r="P703" s="78"/>
      <c r="Q703" s="6" t="str">
        <f t="shared" si="157"/>
        <v>#REF!</v>
      </c>
    </row>
    <row r="704" ht="12.0" customHeight="1">
      <c r="A704" s="22"/>
      <c r="B704" s="27" t="str">
        <f t="shared" si="153"/>
        <v>#REF!</v>
      </c>
      <c r="C704" s="27"/>
      <c r="D704" s="27"/>
      <c r="E704" s="27"/>
      <c r="F704" s="27"/>
      <c r="G704" s="27" t="s">
        <v>3512</v>
      </c>
      <c r="H704" s="27" t="str">
        <f t="shared" si="154"/>
        <v>#REF!</v>
      </c>
      <c r="I704" s="27" t="s">
        <v>3515</v>
      </c>
      <c r="J704" s="27" t="s">
        <v>3516</v>
      </c>
      <c r="K704" s="79" t="str">
        <f t="shared" si="155"/>
        <v>#REF!</v>
      </c>
      <c r="L704" s="27" t="s">
        <v>3515</v>
      </c>
      <c r="M704" s="27" t="str">
        <f t="shared" si="156"/>
        <v>#REF!</v>
      </c>
      <c r="P704" s="78"/>
      <c r="Q704" s="6" t="str">
        <f t="shared" si="157"/>
        <v>#REF!</v>
      </c>
    </row>
    <row r="705" ht="12.0" customHeight="1">
      <c r="A705" s="22"/>
      <c r="B705" s="27" t="str">
        <f t="shared" si="153"/>
        <v>#REF!</v>
      </c>
      <c r="C705" s="27"/>
      <c r="D705" s="27"/>
      <c r="E705" s="27"/>
      <c r="F705" s="27"/>
      <c r="G705" s="27" t="s">
        <v>3512</v>
      </c>
      <c r="H705" s="27" t="str">
        <f t="shared" si="154"/>
        <v>#REF!</v>
      </c>
      <c r="I705" s="27" t="s">
        <v>3515</v>
      </c>
      <c r="J705" s="27" t="s">
        <v>3516</v>
      </c>
      <c r="K705" s="79" t="str">
        <f t="shared" si="155"/>
        <v>#REF!</v>
      </c>
      <c r="L705" s="27" t="s">
        <v>3515</v>
      </c>
      <c r="M705" s="27" t="str">
        <f t="shared" si="156"/>
        <v>#REF!</v>
      </c>
      <c r="P705" s="78"/>
      <c r="Q705" s="6" t="str">
        <f t="shared" si="157"/>
        <v>#REF!</v>
      </c>
    </row>
    <row r="706" ht="12.0" customHeight="1">
      <c r="A706" s="22"/>
      <c r="B706" s="27" t="str">
        <f t="shared" si="153"/>
        <v>#REF!</v>
      </c>
      <c r="C706" s="27"/>
      <c r="D706" s="27"/>
      <c r="E706" s="27"/>
      <c r="F706" s="27"/>
      <c r="G706" s="27" t="s">
        <v>3512</v>
      </c>
      <c r="H706" s="27" t="str">
        <f t="shared" si="154"/>
        <v>#REF!</v>
      </c>
      <c r="I706" s="27" t="s">
        <v>3515</v>
      </c>
      <c r="J706" s="27" t="s">
        <v>3516</v>
      </c>
      <c r="K706" s="79" t="str">
        <f t="shared" si="155"/>
        <v>#REF!</v>
      </c>
      <c r="L706" s="27" t="s">
        <v>3515</v>
      </c>
      <c r="M706" s="27" t="str">
        <f t="shared" si="156"/>
        <v>#REF!</v>
      </c>
      <c r="P706" s="78"/>
      <c r="Q706" s="6" t="str">
        <f t="shared" si="157"/>
        <v>#REF!</v>
      </c>
    </row>
    <row r="707" ht="12.0" customHeight="1">
      <c r="A707" s="22"/>
      <c r="B707" s="27" t="str">
        <f t="shared" si="153"/>
        <v>#REF!</v>
      </c>
      <c r="C707" s="27"/>
      <c r="D707" s="27"/>
      <c r="E707" s="27"/>
      <c r="F707" s="27"/>
      <c r="G707" s="27" t="s">
        <v>3512</v>
      </c>
      <c r="H707" s="27" t="str">
        <f t="shared" si="154"/>
        <v>#REF!</v>
      </c>
      <c r="I707" s="27" t="s">
        <v>3515</v>
      </c>
      <c r="J707" s="27" t="s">
        <v>3516</v>
      </c>
      <c r="K707" s="79" t="str">
        <f t="shared" si="155"/>
        <v>#REF!</v>
      </c>
      <c r="L707" s="27" t="s">
        <v>3515</v>
      </c>
      <c r="M707" s="27" t="str">
        <f t="shared" si="156"/>
        <v>#REF!</v>
      </c>
      <c r="P707" s="78"/>
      <c r="Q707" s="6" t="str">
        <f t="shared" si="157"/>
        <v>#REF!</v>
      </c>
    </row>
    <row r="708" ht="12.0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79"/>
      <c r="L708" s="27"/>
      <c r="M708" s="27"/>
      <c r="N708" s="27"/>
      <c r="O708" s="27"/>
      <c r="P708" s="90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2.0" customHeight="1">
      <c r="A709" s="27"/>
      <c r="B709" s="22" t="s">
        <v>174</v>
      </c>
      <c r="C709" s="27"/>
      <c r="D709" s="27"/>
      <c r="E709" s="27"/>
      <c r="F709" s="27"/>
      <c r="G709" s="27"/>
      <c r="H709" s="27"/>
      <c r="I709" s="27"/>
      <c r="J709" s="27"/>
      <c r="K709" s="79"/>
      <c r="L709" s="27"/>
      <c r="M709" s="27"/>
      <c r="N709" s="27"/>
      <c r="O709" s="27"/>
      <c r="P709" s="90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2.0" customHeight="1">
      <c r="A710" s="27"/>
      <c r="B710" s="22" t="s">
        <v>3958</v>
      </c>
      <c r="C710" s="27"/>
      <c r="D710" s="27"/>
      <c r="E710" s="27"/>
      <c r="F710" s="27"/>
      <c r="G710" s="27"/>
      <c r="H710" s="27"/>
      <c r="I710" s="27"/>
      <c r="J710" s="27"/>
      <c r="K710" s="79"/>
      <c r="L710" s="27"/>
      <c r="M710" s="27"/>
      <c r="N710" s="27"/>
      <c r="O710" s="27"/>
      <c r="P710" s="90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2.0" customHeight="1">
      <c r="A711" s="22"/>
      <c r="B711" s="22" t="s">
        <v>174</v>
      </c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P711" s="78"/>
    </row>
    <row r="712" ht="12.0" customHeight="1">
      <c r="A712" s="22"/>
      <c r="B712" s="27" t="str">
        <f t="shared" ref="B712:B717" si="158">'Exile INPUT'!C665</f>
        <v>#REF!</v>
      </c>
      <c r="C712" s="27"/>
      <c r="D712" s="27"/>
      <c r="E712" s="27"/>
      <c r="F712" s="27"/>
      <c r="G712" s="27" t="s">
        <v>3512</v>
      </c>
      <c r="H712" s="27" t="str">
        <f t="shared" ref="H712:H717" si="159">'Exile INPUT'!F665</f>
        <v>#REF!</v>
      </c>
      <c r="I712" s="27" t="s">
        <v>3515</v>
      </c>
      <c r="J712" s="27" t="s">
        <v>3516</v>
      </c>
      <c r="K712" s="79" t="str">
        <f t="shared" ref="K712:K717" si="160">'Exile INPUT'!J665</f>
        <v>#REF!</v>
      </c>
      <c r="L712" s="27" t="s">
        <v>3515</v>
      </c>
      <c r="M712" s="27" t="str">
        <f t="shared" ref="M712:M717" si="161">IF(Q712 = 0, "};",CONCATENATE("sellPrice = ",Q712,"; };"))</f>
        <v>#REF!</v>
      </c>
      <c r="P712" s="78"/>
      <c r="Q712" s="6" t="str">
        <f t="shared" ref="Q712:Q717" si="162">K712*$X$12</f>
        <v>#REF!</v>
      </c>
    </row>
    <row r="713" ht="12.0" customHeight="1">
      <c r="A713" s="22"/>
      <c r="B713" s="27" t="str">
        <f t="shared" si="158"/>
        <v>#REF!</v>
      </c>
      <c r="C713" s="27"/>
      <c r="D713" s="27"/>
      <c r="E713" s="27"/>
      <c r="F713" s="27"/>
      <c r="G713" s="27" t="s">
        <v>3512</v>
      </c>
      <c r="H713" s="27" t="str">
        <f t="shared" si="159"/>
        <v>#REF!</v>
      </c>
      <c r="I713" s="27" t="s">
        <v>3515</v>
      </c>
      <c r="J713" s="27" t="s">
        <v>3516</v>
      </c>
      <c r="K713" s="79" t="str">
        <f t="shared" si="160"/>
        <v>#REF!</v>
      </c>
      <c r="L713" s="27" t="s">
        <v>3515</v>
      </c>
      <c r="M713" s="27" t="str">
        <f t="shared" si="161"/>
        <v>#REF!</v>
      </c>
      <c r="P713" s="78"/>
      <c r="Q713" s="6" t="str">
        <f t="shared" si="162"/>
        <v>#REF!</v>
      </c>
    </row>
    <row r="714" ht="12.0" customHeight="1">
      <c r="A714" s="22"/>
      <c r="B714" s="27" t="str">
        <f t="shared" si="158"/>
        <v>#REF!</v>
      </c>
      <c r="C714" s="27"/>
      <c r="D714" s="27"/>
      <c r="E714" s="27"/>
      <c r="F714" s="27"/>
      <c r="G714" s="27" t="s">
        <v>3512</v>
      </c>
      <c r="H714" s="27" t="str">
        <f t="shared" si="159"/>
        <v>#REF!</v>
      </c>
      <c r="I714" s="27" t="s">
        <v>3515</v>
      </c>
      <c r="J714" s="27" t="s">
        <v>3516</v>
      </c>
      <c r="K714" s="79" t="str">
        <f t="shared" si="160"/>
        <v>#REF!</v>
      </c>
      <c r="L714" s="27" t="s">
        <v>3515</v>
      </c>
      <c r="M714" s="27" t="str">
        <f t="shared" si="161"/>
        <v>#REF!</v>
      </c>
      <c r="P714" s="78"/>
      <c r="Q714" s="6" t="str">
        <f t="shared" si="162"/>
        <v>#REF!</v>
      </c>
    </row>
    <row r="715" ht="12.0" customHeight="1">
      <c r="A715" s="22"/>
      <c r="B715" s="27" t="str">
        <f t="shared" si="158"/>
        <v>#REF!</v>
      </c>
      <c r="C715" s="27"/>
      <c r="D715" s="27"/>
      <c r="E715" s="27"/>
      <c r="F715" s="27"/>
      <c r="G715" s="27" t="s">
        <v>3512</v>
      </c>
      <c r="H715" s="27" t="str">
        <f t="shared" si="159"/>
        <v>#REF!</v>
      </c>
      <c r="I715" s="27" t="s">
        <v>3515</v>
      </c>
      <c r="J715" s="27" t="s">
        <v>3516</v>
      </c>
      <c r="K715" s="79" t="str">
        <f t="shared" si="160"/>
        <v>#REF!</v>
      </c>
      <c r="L715" s="27" t="s">
        <v>3515</v>
      </c>
      <c r="M715" s="27" t="str">
        <f t="shared" si="161"/>
        <v>#REF!</v>
      </c>
      <c r="P715" s="78"/>
      <c r="Q715" s="6" t="str">
        <f t="shared" si="162"/>
        <v>#REF!</v>
      </c>
    </row>
    <row r="716" ht="12.0" customHeight="1">
      <c r="A716" s="22"/>
      <c r="B716" s="27" t="str">
        <f t="shared" si="158"/>
        <v>#REF!</v>
      </c>
      <c r="C716" s="27"/>
      <c r="D716" s="27"/>
      <c r="E716" s="27"/>
      <c r="F716" s="27"/>
      <c r="G716" s="27" t="s">
        <v>3512</v>
      </c>
      <c r="H716" s="27" t="str">
        <f t="shared" si="159"/>
        <v>#REF!</v>
      </c>
      <c r="I716" s="27" t="s">
        <v>3515</v>
      </c>
      <c r="J716" s="27" t="s">
        <v>3516</v>
      </c>
      <c r="K716" s="79" t="str">
        <f t="shared" si="160"/>
        <v>#REF!</v>
      </c>
      <c r="L716" s="27" t="s">
        <v>3515</v>
      </c>
      <c r="M716" s="27" t="str">
        <f t="shared" si="161"/>
        <v>#REF!</v>
      </c>
      <c r="P716" s="78"/>
      <c r="Q716" s="6" t="str">
        <f t="shared" si="162"/>
        <v>#REF!</v>
      </c>
    </row>
    <row r="717" ht="12.0" customHeight="1">
      <c r="A717" s="22"/>
      <c r="B717" s="27" t="str">
        <f t="shared" si="158"/>
        <v>#REF!</v>
      </c>
      <c r="C717" s="27"/>
      <c r="D717" s="27"/>
      <c r="E717" s="27"/>
      <c r="F717" s="27"/>
      <c r="G717" s="27" t="s">
        <v>3512</v>
      </c>
      <c r="H717" s="27" t="str">
        <f t="shared" si="159"/>
        <v>#REF!</v>
      </c>
      <c r="I717" s="27" t="s">
        <v>3515</v>
      </c>
      <c r="J717" s="27" t="s">
        <v>3516</v>
      </c>
      <c r="K717" s="79" t="str">
        <f t="shared" si="160"/>
        <v>#REF!</v>
      </c>
      <c r="L717" s="27" t="s">
        <v>3515</v>
      </c>
      <c r="M717" s="27" t="str">
        <f t="shared" si="161"/>
        <v>#REF!</v>
      </c>
      <c r="P717" s="78"/>
      <c r="Q717" s="6" t="str">
        <f t="shared" si="162"/>
        <v>#REF!</v>
      </c>
    </row>
    <row r="718" ht="12.0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79"/>
      <c r="L718" s="27"/>
      <c r="M718" s="27"/>
      <c r="N718" s="27"/>
      <c r="O718" s="27"/>
      <c r="P718" s="90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2.0" customHeight="1">
      <c r="A719" s="27"/>
      <c r="B719" s="22" t="s">
        <v>174</v>
      </c>
      <c r="C719" s="27"/>
      <c r="D719" s="27"/>
      <c r="E719" s="27"/>
      <c r="F719" s="27"/>
      <c r="G719" s="27"/>
      <c r="H719" s="27"/>
      <c r="I719" s="27"/>
      <c r="J719" s="27"/>
      <c r="K719" s="79"/>
      <c r="L719" s="27"/>
      <c r="M719" s="27"/>
      <c r="N719" s="27"/>
      <c r="O719" s="27"/>
      <c r="P719" s="90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2.0" customHeight="1">
      <c r="A720" s="27"/>
      <c r="B720" s="22" t="s">
        <v>3959</v>
      </c>
      <c r="C720" s="27"/>
      <c r="D720" s="27"/>
      <c r="E720" s="27"/>
      <c r="F720" s="27"/>
      <c r="G720" s="27"/>
      <c r="H720" s="27"/>
      <c r="I720" s="27"/>
      <c r="J720" s="27"/>
      <c r="K720" s="79"/>
      <c r="L720" s="27"/>
      <c r="M720" s="27"/>
      <c r="N720" s="27"/>
      <c r="O720" s="27"/>
      <c r="P720" s="90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2.0" customHeight="1">
      <c r="A721" s="22"/>
      <c r="B721" s="22" t="s">
        <v>174</v>
      </c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P721" s="78"/>
    </row>
    <row r="722" ht="12.0" customHeight="1">
      <c r="A722" s="22"/>
      <c r="B722" s="27" t="str">
        <f t="shared" ref="B722:B725" si="163">'Exile INPUT'!C672</f>
        <v>#REF!</v>
      </c>
      <c r="C722" s="27"/>
      <c r="D722" s="27"/>
      <c r="E722" s="27"/>
      <c r="F722" s="27"/>
      <c r="G722" s="27" t="s">
        <v>3512</v>
      </c>
      <c r="H722" s="27" t="str">
        <f t="shared" ref="H722:H725" si="164">'Exile INPUT'!F672</f>
        <v>#REF!</v>
      </c>
      <c r="I722" s="27" t="s">
        <v>3515</v>
      </c>
      <c r="J722" s="27" t="s">
        <v>3516</v>
      </c>
      <c r="K722" s="79" t="str">
        <f t="shared" ref="K722:K725" si="165">'Exile INPUT'!J672</f>
        <v>#REF!</v>
      </c>
      <c r="L722" s="27" t="s">
        <v>3515</v>
      </c>
      <c r="M722" s="27" t="str">
        <f t="shared" ref="M722:M725" si="166">IF(Q722 = 0, "};",CONCATENATE("sellPrice = ",Q722,"; };"))</f>
        <v>#REF!</v>
      </c>
      <c r="P722" s="78"/>
      <c r="Q722" s="6" t="str">
        <f t="shared" ref="Q722:Q725" si="167">K722*$X$12</f>
        <v>#REF!</v>
      </c>
    </row>
    <row r="723" ht="12.0" customHeight="1">
      <c r="A723" s="22"/>
      <c r="B723" s="27" t="str">
        <f t="shared" si="163"/>
        <v>#REF!</v>
      </c>
      <c r="C723" s="27"/>
      <c r="D723" s="27"/>
      <c r="E723" s="27"/>
      <c r="F723" s="27"/>
      <c r="G723" s="27" t="s">
        <v>3512</v>
      </c>
      <c r="H723" s="27" t="str">
        <f t="shared" si="164"/>
        <v>#REF!</v>
      </c>
      <c r="I723" s="27" t="s">
        <v>3515</v>
      </c>
      <c r="J723" s="27" t="s">
        <v>3516</v>
      </c>
      <c r="K723" s="79" t="str">
        <f t="shared" si="165"/>
        <v>#REF!</v>
      </c>
      <c r="L723" s="27" t="s">
        <v>3515</v>
      </c>
      <c r="M723" s="27" t="str">
        <f t="shared" si="166"/>
        <v>#REF!</v>
      </c>
      <c r="P723" s="78"/>
      <c r="Q723" s="6" t="str">
        <f t="shared" si="167"/>
        <v>#REF!</v>
      </c>
    </row>
    <row r="724" ht="12.0" customHeight="1">
      <c r="A724" s="22"/>
      <c r="B724" s="27" t="str">
        <f t="shared" si="163"/>
        <v>#REF!</v>
      </c>
      <c r="C724" s="27"/>
      <c r="D724" s="27"/>
      <c r="E724" s="27"/>
      <c r="F724" s="27"/>
      <c r="G724" s="27" t="s">
        <v>3512</v>
      </c>
      <c r="H724" s="27" t="str">
        <f t="shared" si="164"/>
        <v>#REF!</v>
      </c>
      <c r="I724" s="27" t="s">
        <v>3515</v>
      </c>
      <c r="J724" s="27" t="s">
        <v>3516</v>
      </c>
      <c r="K724" s="79" t="str">
        <f t="shared" si="165"/>
        <v>#REF!</v>
      </c>
      <c r="L724" s="27" t="s">
        <v>3515</v>
      </c>
      <c r="M724" s="27" t="str">
        <f t="shared" si="166"/>
        <v>#REF!</v>
      </c>
      <c r="P724" s="78"/>
      <c r="Q724" s="6" t="str">
        <f t="shared" si="167"/>
        <v>#REF!</v>
      </c>
    </row>
    <row r="725" ht="12.0" customHeight="1">
      <c r="A725" s="22"/>
      <c r="B725" s="27" t="str">
        <f t="shared" si="163"/>
        <v>#REF!</v>
      </c>
      <c r="C725" s="27"/>
      <c r="D725" s="27"/>
      <c r="E725" s="27"/>
      <c r="F725" s="27"/>
      <c r="G725" s="27" t="s">
        <v>3512</v>
      </c>
      <c r="H725" s="27" t="str">
        <f t="shared" si="164"/>
        <v>#REF!</v>
      </c>
      <c r="I725" s="27" t="s">
        <v>3515</v>
      </c>
      <c r="J725" s="27" t="s">
        <v>3516</v>
      </c>
      <c r="K725" s="79" t="str">
        <f t="shared" si="165"/>
        <v>#REF!</v>
      </c>
      <c r="L725" s="27" t="s">
        <v>3515</v>
      </c>
      <c r="M725" s="27" t="str">
        <f t="shared" si="166"/>
        <v>#REF!</v>
      </c>
      <c r="P725" s="78"/>
      <c r="Q725" s="6" t="str">
        <f t="shared" si="167"/>
        <v>#REF!</v>
      </c>
    </row>
    <row r="726" ht="12.0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79"/>
      <c r="L726" s="27"/>
      <c r="M726" s="27"/>
      <c r="N726" s="27"/>
      <c r="O726" s="27"/>
      <c r="P726" s="90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2.0" customHeight="1">
      <c r="A727" s="27"/>
      <c r="B727" s="22" t="s">
        <v>174</v>
      </c>
      <c r="C727" s="27"/>
      <c r="D727" s="27"/>
      <c r="E727" s="27"/>
      <c r="F727" s="27"/>
      <c r="G727" s="27"/>
      <c r="H727" s="27"/>
      <c r="I727" s="27"/>
      <c r="J727" s="27"/>
      <c r="K727" s="79"/>
      <c r="L727" s="27"/>
      <c r="M727" s="27"/>
      <c r="N727" s="27"/>
      <c r="O727" s="27"/>
      <c r="P727" s="90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2.0" customHeight="1">
      <c r="A728" s="27"/>
      <c r="B728" s="22" t="s">
        <v>3960</v>
      </c>
      <c r="C728" s="27"/>
      <c r="D728" s="27"/>
      <c r="E728" s="27"/>
      <c r="F728" s="27"/>
      <c r="G728" s="27"/>
      <c r="H728" s="27"/>
      <c r="I728" s="27"/>
      <c r="J728" s="27"/>
      <c r="K728" s="79"/>
      <c r="L728" s="27"/>
      <c r="M728" s="27"/>
      <c r="N728" s="27"/>
      <c r="O728" s="27"/>
      <c r="P728" s="90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2.0" customHeight="1">
      <c r="A729" s="22"/>
      <c r="B729" s="22" t="s">
        <v>174</v>
      </c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P729" s="78"/>
    </row>
    <row r="730" ht="12.0" customHeight="1">
      <c r="A730" s="22"/>
      <c r="B730" s="27" t="str">
        <f>'Exile INPUT'!C677</f>
        <v>#REF!</v>
      </c>
      <c r="C730" s="27"/>
      <c r="D730" s="27"/>
      <c r="E730" s="27"/>
      <c r="F730" s="27"/>
      <c r="G730" s="27" t="s">
        <v>3512</v>
      </c>
      <c r="H730" s="27" t="str">
        <f>'Exile INPUT'!F677</f>
        <v>#REF!</v>
      </c>
      <c r="I730" s="27" t="s">
        <v>3515</v>
      </c>
      <c r="J730" s="27" t="s">
        <v>3516</v>
      </c>
      <c r="K730" s="79" t="str">
        <f>'Exile INPUT'!J677</f>
        <v>#REF!</v>
      </c>
      <c r="L730" s="27" t="s">
        <v>3515</v>
      </c>
      <c r="M730" s="27" t="str">
        <f>IF(Q730 = 0, "};",CONCATENATE("sellPrice = ",Q730,"; };"))</f>
        <v>#REF!</v>
      </c>
      <c r="P730" s="78"/>
      <c r="Q730" s="6" t="str">
        <f>K730*$X$12</f>
        <v>#REF!</v>
      </c>
    </row>
    <row r="731" ht="12.0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79"/>
      <c r="L731" s="27"/>
      <c r="M731" s="27"/>
      <c r="N731" s="27"/>
      <c r="O731" s="27"/>
      <c r="P731" s="90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2.0" customHeight="1">
      <c r="A732" s="27"/>
      <c r="B732" s="22" t="s">
        <v>174</v>
      </c>
      <c r="C732" s="27"/>
      <c r="D732" s="27"/>
      <c r="E732" s="27"/>
      <c r="F732" s="27"/>
      <c r="G732" s="27"/>
      <c r="H732" s="27"/>
      <c r="I732" s="27"/>
      <c r="J732" s="27"/>
      <c r="K732" s="79"/>
      <c r="L732" s="27"/>
      <c r="M732" s="27"/>
      <c r="N732" s="27"/>
      <c r="O732" s="27"/>
      <c r="P732" s="90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2.0" customHeight="1">
      <c r="A733" s="27"/>
      <c r="B733" s="22" t="s">
        <v>3961</v>
      </c>
      <c r="C733" s="27"/>
      <c r="D733" s="27"/>
      <c r="E733" s="27"/>
      <c r="F733" s="27"/>
      <c r="G733" s="27"/>
      <c r="H733" s="27"/>
      <c r="I733" s="27"/>
      <c r="J733" s="27"/>
      <c r="K733" s="79"/>
      <c r="L733" s="27"/>
      <c r="M733" s="27"/>
      <c r="N733" s="27"/>
      <c r="O733" s="27"/>
      <c r="P733" s="90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2.0" customHeight="1">
      <c r="A734" s="22"/>
      <c r="B734" s="22" t="s">
        <v>174</v>
      </c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P734" s="78"/>
    </row>
    <row r="735" ht="12.0" customHeight="1">
      <c r="A735" s="22"/>
      <c r="B735" s="27" t="str">
        <f t="shared" ref="B735:B755" si="168">'Exile INPUT'!C679</f>
        <v>#REF!</v>
      </c>
      <c r="C735" s="27"/>
      <c r="D735" s="27"/>
      <c r="E735" s="27"/>
      <c r="F735" s="27"/>
      <c r="G735" s="27" t="s">
        <v>3512</v>
      </c>
      <c r="H735" s="27" t="str">
        <f t="shared" ref="H735:H755" si="169">'Exile INPUT'!F679</f>
        <v>#REF!</v>
      </c>
      <c r="I735" s="27" t="s">
        <v>3515</v>
      </c>
      <c r="J735" s="27" t="s">
        <v>3516</v>
      </c>
      <c r="K735" s="79" t="str">
        <f t="shared" ref="K735:K755" si="170">'Exile INPUT'!J679</f>
        <v>#REF!</v>
      </c>
      <c r="L735" s="27" t="s">
        <v>3515</v>
      </c>
      <c r="M735" s="27" t="str">
        <f t="shared" ref="M735:M755" si="171">IF(Q735 = 0, "};",CONCATENATE("sellPrice = ",Q735,"; };"))</f>
        <v>#REF!</v>
      </c>
      <c r="P735" s="78"/>
      <c r="Q735" s="6" t="str">
        <f t="shared" ref="Q735:Q755" si="172">K735*$X$12</f>
        <v>#REF!</v>
      </c>
    </row>
    <row r="736" ht="12.0" customHeight="1">
      <c r="A736" s="22"/>
      <c r="B736" s="27" t="str">
        <f t="shared" si="168"/>
        <v>#REF!</v>
      </c>
      <c r="C736" s="27"/>
      <c r="D736" s="27"/>
      <c r="E736" s="27"/>
      <c r="F736" s="27"/>
      <c r="G736" s="27" t="s">
        <v>3512</v>
      </c>
      <c r="H736" s="27" t="str">
        <f t="shared" si="169"/>
        <v>#REF!</v>
      </c>
      <c r="I736" s="27" t="s">
        <v>3515</v>
      </c>
      <c r="J736" s="27" t="s">
        <v>3516</v>
      </c>
      <c r="K736" s="79" t="str">
        <f t="shared" si="170"/>
        <v>#REF!</v>
      </c>
      <c r="L736" s="27" t="s">
        <v>3515</v>
      </c>
      <c r="M736" s="27" t="str">
        <f t="shared" si="171"/>
        <v>#REF!</v>
      </c>
      <c r="P736" s="78"/>
      <c r="Q736" s="6" t="str">
        <f t="shared" si="172"/>
        <v>#REF!</v>
      </c>
    </row>
    <row r="737" ht="12.0" customHeight="1">
      <c r="A737" s="22"/>
      <c r="B737" s="27" t="str">
        <f t="shared" si="168"/>
        <v>#REF!</v>
      </c>
      <c r="C737" s="27"/>
      <c r="D737" s="27"/>
      <c r="E737" s="27"/>
      <c r="F737" s="27"/>
      <c r="G737" s="27" t="s">
        <v>3512</v>
      </c>
      <c r="H737" s="27" t="str">
        <f t="shared" si="169"/>
        <v>#REF!</v>
      </c>
      <c r="I737" s="27" t="s">
        <v>3515</v>
      </c>
      <c r="J737" s="27" t="s">
        <v>3516</v>
      </c>
      <c r="K737" s="79" t="str">
        <f t="shared" si="170"/>
        <v>#REF!</v>
      </c>
      <c r="L737" s="27" t="s">
        <v>3515</v>
      </c>
      <c r="M737" s="27" t="str">
        <f t="shared" si="171"/>
        <v>#REF!</v>
      </c>
      <c r="P737" s="78"/>
      <c r="Q737" s="6" t="str">
        <f t="shared" si="172"/>
        <v>#REF!</v>
      </c>
    </row>
    <row r="738" ht="12.0" customHeight="1">
      <c r="A738" s="22"/>
      <c r="B738" s="27" t="str">
        <f t="shared" si="168"/>
        <v>#REF!</v>
      </c>
      <c r="C738" s="27"/>
      <c r="D738" s="27"/>
      <c r="E738" s="27"/>
      <c r="F738" s="27"/>
      <c r="G738" s="27" t="s">
        <v>3512</v>
      </c>
      <c r="H738" s="27" t="str">
        <f t="shared" si="169"/>
        <v>#REF!</v>
      </c>
      <c r="I738" s="27" t="s">
        <v>3515</v>
      </c>
      <c r="J738" s="27" t="s">
        <v>3516</v>
      </c>
      <c r="K738" s="79" t="str">
        <f t="shared" si="170"/>
        <v>#REF!</v>
      </c>
      <c r="L738" s="27" t="s">
        <v>3515</v>
      </c>
      <c r="M738" s="27" t="str">
        <f t="shared" si="171"/>
        <v>#REF!</v>
      </c>
      <c r="P738" s="78"/>
      <c r="Q738" s="6" t="str">
        <f t="shared" si="172"/>
        <v>#REF!</v>
      </c>
    </row>
    <row r="739" ht="12.0" customHeight="1">
      <c r="A739" s="22"/>
      <c r="B739" s="27" t="str">
        <f t="shared" si="168"/>
        <v>#REF!</v>
      </c>
      <c r="C739" s="27"/>
      <c r="D739" s="27"/>
      <c r="E739" s="27"/>
      <c r="F739" s="27"/>
      <c r="G739" s="27" t="s">
        <v>3512</v>
      </c>
      <c r="H739" s="27" t="str">
        <f t="shared" si="169"/>
        <v>#REF!</v>
      </c>
      <c r="I739" s="27" t="s">
        <v>3515</v>
      </c>
      <c r="J739" s="27" t="s">
        <v>3516</v>
      </c>
      <c r="K739" s="79" t="str">
        <f t="shared" si="170"/>
        <v>#REF!</v>
      </c>
      <c r="L739" s="27" t="s">
        <v>3515</v>
      </c>
      <c r="M739" s="27" t="str">
        <f t="shared" si="171"/>
        <v>#REF!</v>
      </c>
      <c r="P739" s="78"/>
      <c r="Q739" s="6" t="str">
        <f t="shared" si="172"/>
        <v>#REF!</v>
      </c>
    </row>
    <row r="740" ht="12.0" customHeight="1">
      <c r="A740" s="22"/>
      <c r="B740" s="27" t="str">
        <f t="shared" si="168"/>
        <v>#REF!</v>
      </c>
      <c r="C740" s="27"/>
      <c r="D740" s="27"/>
      <c r="E740" s="27"/>
      <c r="F740" s="27"/>
      <c r="G740" s="27" t="s">
        <v>3512</v>
      </c>
      <c r="H740" s="27" t="str">
        <f t="shared" si="169"/>
        <v>#REF!</v>
      </c>
      <c r="I740" s="27" t="s">
        <v>3515</v>
      </c>
      <c r="J740" s="27" t="s">
        <v>3516</v>
      </c>
      <c r="K740" s="79" t="str">
        <f t="shared" si="170"/>
        <v>#REF!</v>
      </c>
      <c r="L740" s="27" t="s">
        <v>3515</v>
      </c>
      <c r="M740" s="27" t="str">
        <f t="shared" si="171"/>
        <v>#REF!</v>
      </c>
      <c r="P740" s="78"/>
      <c r="Q740" s="6" t="str">
        <f t="shared" si="172"/>
        <v>#REF!</v>
      </c>
    </row>
    <row r="741" ht="12.0" customHeight="1">
      <c r="A741" s="22"/>
      <c r="B741" s="27" t="str">
        <f t="shared" si="168"/>
        <v>#REF!</v>
      </c>
      <c r="C741" s="27"/>
      <c r="D741" s="27"/>
      <c r="E741" s="27"/>
      <c r="F741" s="27"/>
      <c r="G741" s="27" t="s">
        <v>3512</v>
      </c>
      <c r="H741" s="27" t="str">
        <f t="shared" si="169"/>
        <v>#REF!</v>
      </c>
      <c r="I741" s="27" t="s">
        <v>3515</v>
      </c>
      <c r="J741" s="27" t="s">
        <v>3516</v>
      </c>
      <c r="K741" s="79" t="str">
        <f t="shared" si="170"/>
        <v>#REF!</v>
      </c>
      <c r="L741" s="27" t="s">
        <v>3515</v>
      </c>
      <c r="M741" s="27" t="str">
        <f t="shared" si="171"/>
        <v>#REF!</v>
      </c>
      <c r="P741" s="78"/>
      <c r="Q741" s="6" t="str">
        <f t="shared" si="172"/>
        <v>#REF!</v>
      </c>
    </row>
    <row r="742" ht="12.0" customHeight="1">
      <c r="A742" s="22"/>
      <c r="B742" s="27" t="str">
        <f t="shared" si="168"/>
        <v>#REF!</v>
      </c>
      <c r="C742" s="27"/>
      <c r="D742" s="27"/>
      <c r="E742" s="27"/>
      <c r="F742" s="27"/>
      <c r="G742" s="27" t="s">
        <v>3512</v>
      </c>
      <c r="H742" s="27" t="str">
        <f t="shared" si="169"/>
        <v>#REF!</v>
      </c>
      <c r="I742" s="27" t="s">
        <v>3515</v>
      </c>
      <c r="J742" s="27" t="s">
        <v>3516</v>
      </c>
      <c r="K742" s="79" t="str">
        <f t="shared" si="170"/>
        <v>#REF!</v>
      </c>
      <c r="L742" s="27" t="s">
        <v>3515</v>
      </c>
      <c r="M742" s="27" t="str">
        <f t="shared" si="171"/>
        <v>#REF!</v>
      </c>
      <c r="P742" s="78"/>
      <c r="Q742" s="6" t="str">
        <f t="shared" si="172"/>
        <v>#REF!</v>
      </c>
    </row>
    <row r="743" ht="12.0" customHeight="1">
      <c r="A743" s="22"/>
      <c r="B743" s="27" t="str">
        <f t="shared" si="168"/>
        <v>#REF!</v>
      </c>
      <c r="C743" s="27"/>
      <c r="D743" s="27"/>
      <c r="E743" s="27"/>
      <c r="F743" s="27"/>
      <c r="G743" s="27" t="s">
        <v>3512</v>
      </c>
      <c r="H743" s="27" t="str">
        <f t="shared" si="169"/>
        <v>#REF!</v>
      </c>
      <c r="I743" s="27" t="s">
        <v>3515</v>
      </c>
      <c r="J743" s="27" t="s">
        <v>3516</v>
      </c>
      <c r="K743" s="79" t="str">
        <f t="shared" si="170"/>
        <v>#REF!</v>
      </c>
      <c r="L743" s="27" t="s">
        <v>3515</v>
      </c>
      <c r="M743" s="27" t="str">
        <f t="shared" si="171"/>
        <v>#REF!</v>
      </c>
      <c r="P743" s="78"/>
      <c r="Q743" s="6" t="str">
        <f t="shared" si="172"/>
        <v>#REF!</v>
      </c>
    </row>
    <row r="744" ht="12.0" customHeight="1">
      <c r="A744" s="22"/>
      <c r="B744" s="27" t="str">
        <f t="shared" si="168"/>
        <v>#REF!</v>
      </c>
      <c r="C744" s="27"/>
      <c r="D744" s="27"/>
      <c r="E744" s="27"/>
      <c r="F744" s="27"/>
      <c r="G744" s="27" t="s">
        <v>3512</v>
      </c>
      <c r="H744" s="27" t="str">
        <f t="shared" si="169"/>
        <v>#REF!</v>
      </c>
      <c r="I744" s="27" t="s">
        <v>3515</v>
      </c>
      <c r="J744" s="27" t="s">
        <v>3516</v>
      </c>
      <c r="K744" s="79" t="str">
        <f t="shared" si="170"/>
        <v>#REF!</v>
      </c>
      <c r="L744" s="27" t="s">
        <v>3515</v>
      </c>
      <c r="M744" s="27" t="str">
        <f t="shared" si="171"/>
        <v>#REF!</v>
      </c>
      <c r="P744" s="78"/>
      <c r="Q744" s="6" t="str">
        <f t="shared" si="172"/>
        <v>#REF!</v>
      </c>
    </row>
    <row r="745" ht="12.0" customHeight="1">
      <c r="A745" s="22"/>
      <c r="B745" s="27" t="str">
        <f t="shared" si="168"/>
        <v>#REF!</v>
      </c>
      <c r="C745" s="27"/>
      <c r="D745" s="27"/>
      <c r="E745" s="27"/>
      <c r="F745" s="27"/>
      <c r="G745" s="27" t="s">
        <v>3512</v>
      </c>
      <c r="H745" s="27" t="str">
        <f t="shared" si="169"/>
        <v>#REF!</v>
      </c>
      <c r="I745" s="27" t="s">
        <v>3515</v>
      </c>
      <c r="J745" s="27" t="s">
        <v>3516</v>
      </c>
      <c r="K745" s="79" t="str">
        <f t="shared" si="170"/>
        <v>#REF!</v>
      </c>
      <c r="L745" s="27" t="s">
        <v>3515</v>
      </c>
      <c r="M745" s="27" t="str">
        <f t="shared" si="171"/>
        <v>#REF!</v>
      </c>
      <c r="P745" s="78"/>
      <c r="Q745" s="6" t="str">
        <f t="shared" si="172"/>
        <v>#REF!</v>
      </c>
    </row>
    <row r="746" ht="12.0" customHeight="1">
      <c r="A746" s="22"/>
      <c r="B746" s="27" t="str">
        <f t="shared" si="168"/>
        <v>#REF!</v>
      </c>
      <c r="C746" s="27"/>
      <c r="D746" s="27"/>
      <c r="E746" s="27"/>
      <c r="F746" s="27"/>
      <c r="G746" s="27" t="s">
        <v>3512</v>
      </c>
      <c r="H746" s="27" t="str">
        <f t="shared" si="169"/>
        <v>#REF!</v>
      </c>
      <c r="I746" s="27" t="s">
        <v>3515</v>
      </c>
      <c r="J746" s="27" t="s">
        <v>3516</v>
      </c>
      <c r="K746" s="79" t="str">
        <f t="shared" si="170"/>
        <v>#REF!</v>
      </c>
      <c r="L746" s="27" t="s">
        <v>3515</v>
      </c>
      <c r="M746" s="27" t="str">
        <f t="shared" si="171"/>
        <v>#REF!</v>
      </c>
      <c r="P746" s="78"/>
      <c r="Q746" s="6" t="str">
        <f t="shared" si="172"/>
        <v>#REF!</v>
      </c>
    </row>
    <row r="747" ht="12.0" customHeight="1">
      <c r="A747" s="22"/>
      <c r="B747" s="27" t="str">
        <f t="shared" si="168"/>
        <v>#REF!</v>
      </c>
      <c r="C747" s="27"/>
      <c r="D747" s="27"/>
      <c r="E747" s="27"/>
      <c r="F747" s="27"/>
      <c r="G747" s="27" t="s">
        <v>3512</v>
      </c>
      <c r="H747" s="27" t="str">
        <f t="shared" si="169"/>
        <v>#REF!</v>
      </c>
      <c r="I747" s="27" t="s">
        <v>3515</v>
      </c>
      <c r="J747" s="27" t="s">
        <v>3516</v>
      </c>
      <c r="K747" s="79" t="str">
        <f t="shared" si="170"/>
        <v>#REF!</v>
      </c>
      <c r="L747" s="27" t="s">
        <v>3515</v>
      </c>
      <c r="M747" s="27" t="str">
        <f t="shared" si="171"/>
        <v>#REF!</v>
      </c>
      <c r="P747" s="78"/>
      <c r="Q747" s="6" t="str">
        <f t="shared" si="172"/>
        <v>#REF!</v>
      </c>
    </row>
    <row r="748" ht="12.0" customHeight="1">
      <c r="A748" s="22"/>
      <c r="B748" s="27" t="str">
        <f t="shared" si="168"/>
        <v>#REF!</v>
      </c>
      <c r="C748" s="27"/>
      <c r="D748" s="27"/>
      <c r="E748" s="27"/>
      <c r="F748" s="27"/>
      <c r="G748" s="27" t="s">
        <v>3512</v>
      </c>
      <c r="H748" s="27" t="str">
        <f t="shared" si="169"/>
        <v>#REF!</v>
      </c>
      <c r="I748" s="27" t="s">
        <v>3515</v>
      </c>
      <c r="J748" s="27" t="s">
        <v>3516</v>
      </c>
      <c r="K748" s="79" t="str">
        <f t="shared" si="170"/>
        <v>#REF!</v>
      </c>
      <c r="L748" s="27" t="s">
        <v>3515</v>
      </c>
      <c r="M748" s="27" t="str">
        <f t="shared" si="171"/>
        <v>#REF!</v>
      </c>
      <c r="P748" s="78"/>
      <c r="Q748" s="6" t="str">
        <f t="shared" si="172"/>
        <v>#REF!</v>
      </c>
    </row>
    <row r="749" ht="12.0" customHeight="1">
      <c r="A749" s="22"/>
      <c r="B749" s="27" t="str">
        <f t="shared" si="168"/>
        <v>#REF!</v>
      </c>
      <c r="C749" s="27"/>
      <c r="D749" s="27"/>
      <c r="E749" s="27"/>
      <c r="F749" s="27"/>
      <c r="G749" s="27" t="s">
        <v>3512</v>
      </c>
      <c r="H749" s="27" t="str">
        <f t="shared" si="169"/>
        <v>#REF!</v>
      </c>
      <c r="I749" s="27" t="s">
        <v>3515</v>
      </c>
      <c r="J749" s="27" t="s">
        <v>3516</v>
      </c>
      <c r="K749" s="79" t="str">
        <f t="shared" si="170"/>
        <v>#REF!</v>
      </c>
      <c r="L749" s="27" t="s">
        <v>3515</v>
      </c>
      <c r="M749" s="27" t="str">
        <f t="shared" si="171"/>
        <v>#REF!</v>
      </c>
      <c r="P749" s="78"/>
      <c r="Q749" s="6" t="str">
        <f t="shared" si="172"/>
        <v>#REF!</v>
      </c>
    </row>
    <row r="750" ht="12.0" customHeight="1">
      <c r="A750" s="22"/>
      <c r="B750" s="27" t="str">
        <f t="shared" si="168"/>
        <v>#REF!</v>
      </c>
      <c r="C750" s="27"/>
      <c r="D750" s="27"/>
      <c r="E750" s="27"/>
      <c r="F750" s="27"/>
      <c r="G750" s="27" t="s">
        <v>3512</v>
      </c>
      <c r="H750" s="27" t="str">
        <f t="shared" si="169"/>
        <v>#REF!</v>
      </c>
      <c r="I750" s="27" t="s">
        <v>3515</v>
      </c>
      <c r="J750" s="27" t="s">
        <v>3516</v>
      </c>
      <c r="K750" s="79" t="str">
        <f t="shared" si="170"/>
        <v>#REF!</v>
      </c>
      <c r="L750" s="27" t="s">
        <v>3515</v>
      </c>
      <c r="M750" s="27" t="str">
        <f t="shared" si="171"/>
        <v>#REF!</v>
      </c>
      <c r="P750" s="78"/>
      <c r="Q750" s="6" t="str">
        <f t="shared" si="172"/>
        <v>#REF!</v>
      </c>
    </row>
    <row r="751" ht="12.0" customHeight="1">
      <c r="A751" s="22"/>
      <c r="B751" s="27" t="str">
        <f t="shared" si="168"/>
        <v>#REF!</v>
      </c>
      <c r="C751" s="27"/>
      <c r="D751" s="27"/>
      <c r="E751" s="27"/>
      <c r="F751" s="27"/>
      <c r="G751" s="27" t="s">
        <v>3512</v>
      </c>
      <c r="H751" s="27" t="str">
        <f t="shared" si="169"/>
        <v>#REF!</v>
      </c>
      <c r="I751" s="27" t="s">
        <v>3515</v>
      </c>
      <c r="J751" s="27" t="s">
        <v>3516</v>
      </c>
      <c r="K751" s="79" t="str">
        <f t="shared" si="170"/>
        <v>#REF!</v>
      </c>
      <c r="L751" s="27" t="s">
        <v>3515</v>
      </c>
      <c r="M751" s="27" t="str">
        <f t="shared" si="171"/>
        <v>#REF!</v>
      </c>
      <c r="P751" s="78"/>
      <c r="Q751" s="6" t="str">
        <f t="shared" si="172"/>
        <v>#REF!</v>
      </c>
    </row>
    <row r="752" ht="12.0" customHeight="1">
      <c r="A752" s="22"/>
      <c r="B752" s="27" t="str">
        <f t="shared" si="168"/>
        <v>#REF!</v>
      </c>
      <c r="C752" s="27"/>
      <c r="D752" s="27"/>
      <c r="E752" s="27"/>
      <c r="F752" s="27"/>
      <c r="G752" s="27" t="s">
        <v>3512</v>
      </c>
      <c r="H752" s="27" t="str">
        <f t="shared" si="169"/>
        <v>#REF!</v>
      </c>
      <c r="I752" s="27" t="s">
        <v>3515</v>
      </c>
      <c r="J752" s="27" t="s">
        <v>3516</v>
      </c>
      <c r="K752" s="79" t="str">
        <f t="shared" si="170"/>
        <v>#REF!</v>
      </c>
      <c r="L752" s="27" t="s">
        <v>3515</v>
      </c>
      <c r="M752" s="27" t="str">
        <f t="shared" si="171"/>
        <v>#REF!</v>
      </c>
      <c r="P752" s="78"/>
      <c r="Q752" s="6" t="str">
        <f t="shared" si="172"/>
        <v>#REF!</v>
      </c>
    </row>
    <row r="753" ht="12.0" customHeight="1">
      <c r="A753" s="22"/>
      <c r="B753" s="27" t="str">
        <f t="shared" si="168"/>
        <v>#REF!</v>
      </c>
      <c r="C753" s="27"/>
      <c r="D753" s="27"/>
      <c r="E753" s="27"/>
      <c r="F753" s="27"/>
      <c r="G753" s="27" t="s">
        <v>3512</v>
      </c>
      <c r="H753" s="27" t="str">
        <f t="shared" si="169"/>
        <v>#REF!</v>
      </c>
      <c r="I753" s="27" t="s">
        <v>3515</v>
      </c>
      <c r="J753" s="27" t="s">
        <v>3516</v>
      </c>
      <c r="K753" s="79" t="str">
        <f t="shared" si="170"/>
        <v>#REF!</v>
      </c>
      <c r="L753" s="27" t="s">
        <v>3515</v>
      </c>
      <c r="M753" s="27" t="str">
        <f t="shared" si="171"/>
        <v>#REF!</v>
      </c>
      <c r="P753" s="78"/>
      <c r="Q753" s="6" t="str">
        <f t="shared" si="172"/>
        <v>#REF!</v>
      </c>
    </row>
    <row r="754" ht="12.0" customHeight="1">
      <c r="A754" s="22"/>
      <c r="B754" s="27" t="str">
        <f t="shared" si="168"/>
        <v>#REF!</v>
      </c>
      <c r="C754" s="27"/>
      <c r="D754" s="27"/>
      <c r="E754" s="27"/>
      <c r="F754" s="27"/>
      <c r="G754" s="27" t="s">
        <v>3512</v>
      </c>
      <c r="H754" s="27" t="str">
        <f t="shared" si="169"/>
        <v>#REF!</v>
      </c>
      <c r="I754" s="27" t="s">
        <v>3515</v>
      </c>
      <c r="J754" s="27" t="s">
        <v>3516</v>
      </c>
      <c r="K754" s="79" t="str">
        <f t="shared" si="170"/>
        <v>#REF!</v>
      </c>
      <c r="L754" s="27" t="s">
        <v>3515</v>
      </c>
      <c r="M754" s="27" t="str">
        <f t="shared" si="171"/>
        <v>#REF!</v>
      </c>
      <c r="P754" s="78"/>
      <c r="Q754" s="6" t="str">
        <f t="shared" si="172"/>
        <v>#REF!</v>
      </c>
    </row>
    <row r="755" ht="12.0" customHeight="1">
      <c r="A755" s="22"/>
      <c r="B755" s="27" t="str">
        <f t="shared" si="168"/>
        <v>#REF!</v>
      </c>
      <c r="C755" s="27"/>
      <c r="D755" s="27"/>
      <c r="E755" s="27"/>
      <c r="F755" s="27"/>
      <c r="G755" s="27" t="s">
        <v>3512</v>
      </c>
      <c r="H755" s="27" t="str">
        <f t="shared" si="169"/>
        <v>#REF!</v>
      </c>
      <c r="I755" s="27" t="s">
        <v>3515</v>
      </c>
      <c r="J755" s="27" t="s">
        <v>3516</v>
      </c>
      <c r="K755" s="79" t="str">
        <f t="shared" si="170"/>
        <v>#REF!</v>
      </c>
      <c r="L755" s="27" t="s">
        <v>3515</v>
      </c>
      <c r="M755" s="27" t="str">
        <f t="shared" si="171"/>
        <v>#REF!</v>
      </c>
      <c r="P755" s="78"/>
      <c r="Q755" s="6" t="str">
        <f t="shared" si="172"/>
        <v>#REF!</v>
      </c>
    </row>
    <row r="756" ht="12.0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79"/>
      <c r="L756" s="27"/>
      <c r="M756" s="27"/>
      <c r="N756" s="27"/>
      <c r="O756" s="27"/>
      <c r="P756" s="90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2.0" customHeight="1">
      <c r="A757" s="27"/>
      <c r="B757" s="22" t="s">
        <v>174</v>
      </c>
      <c r="C757" s="27"/>
      <c r="D757" s="27"/>
      <c r="E757" s="27"/>
      <c r="F757" s="27"/>
      <c r="G757" s="27"/>
      <c r="H757" s="27"/>
      <c r="I757" s="27"/>
      <c r="J757" s="27"/>
      <c r="K757" s="79"/>
      <c r="L757" s="27"/>
      <c r="M757" s="27"/>
      <c r="N757" s="27"/>
      <c r="O757" s="27"/>
      <c r="P757" s="90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2.0" customHeight="1">
      <c r="A758" s="27"/>
      <c r="B758" s="22" t="s">
        <v>3962</v>
      </c>
      <c r="C758" s="27"/>
      <c r="D758" s="27"/>
      <c r="E758" s="27"/>
      <c r="F758" s="27"/>
      <c r="G758" s="27"/>
      <c r="H758" s="27"/>
      <c r="I758" s="27"/>
      <c r="J758" s="27"/>
      <c r="K758" s="79"/>
      <c r="L758" s="27"/>
      <c r="M758" s="27"/>
      <c r="N758" s="27"/>
      <c r="O758" s="27"/>
      <c r="P758" s="90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2.0" customHeight="1">
      <c r="A759" s="22"/>
      <c r="B759" s="22" t="s">
        <v>174</v>
      </c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P759" s="78"/>
    </row>
    <row r="760" ht="12.0" customHeight="1">
      <c r="A760" s="22"/>
      <c r="B760" s="27" t="str">
        <f t="shared" ref="B760:B778" si="173">'Exile INPUT'!C701</f>
        <v>#REF!</v>
      </c>
      <c r="C760" s="27"/>
      <c r="D760" s="27"/>
      <c r="E760" s="27"/>
      <c r="F760" s="27"/>
      <c r="G760" s="27" t="s">
        <v>3512</v>
      </c>
      <c r="H760" s="27" t="str">
        <f t="shared" ref="H760:H778" si="174">'Exile INPUT'!F701</f>
        <v>#REF!</v>
      </c>
      <c r="I760" s="27" t="s">
        <v>3515</v>
      </c>
      <c r="J760" s="27" t="s">
        <v>3516</v>
      </c>
      <c r="K760" s="79" t="str">
        <f t="shared" ref="K760:K778" si="175">'Exile INPUT'!J701</f>
        <v>#REF!</v>
      </c>
      <c r="L760" s="27" t="s">
        <v>3515</v>
      </c>
      <c r="M760" s="27" t="str">
        <f t="shared" ref="M760:M778" si="176">IF(Q760 = 0, "};",CONCATENATE("sellPrice = ",Q760,"; };"))</f>
        <v>#REF!</v>
      </c>
      <c r="P760" s="78"/>
      <c r="Q760" s="6" t="str">
        <f t="shared" ref="Q760:Q778" si="177">K760*$X$12</f>
        <v>#REF!</v>
      </c>
    </row>
    <row r="761" ht="12.0" customHeight="1">
      <c r="A761" s="22"/>
      <c r="B761" s="27" t="str">
        <f t="shared" si="173"/>
        <v>#REF!</v>
      </c>
      <c r="C761" s="27"/>
      <c r="D761" s="27"/>
      <c r="E761" s="27"/>
      <c r="F761" s="27"/>
      <c r="G761" s="27" t="s">
        <v>3512</v>
      </c>
      <c r="H761" s="27" t="str">
        <f t="shared" si="174"/>
        <v>#REF!</v>
      </c>
      <c r="I761" s="27" t="s">
        <v>3515</v>
      </c>
      <c r="J761" s="27" t="s">
        <v>3516</v>
      </c>
      <c r="K761" s="79" t="str">
        <f t="shared" si="175"/>
        <v>#REF!</v>
      </c>
      <c r="L761" s="27" t="s">
        <v>3515</v>
      </c>
      <c r="M761" s="27" t="str">
        <f t="shared" si="176"/>
        <v>#REF!</v>
      </c>
      <c r="P761" s="78"/>
      <c r="Q761" s="6" t="str">
        <f t="shared" si="177"/>
        <v>#REF!</v>
      </c>
    </row>
    <row r="762" ht="12.0" customHeight="1">
      <c r="A762" s="22"/>
      <c r="B762" s="27" t="str">
        <f t="shared" si="173"/>
        <v>#REF!</v>
      </c>
      <c r="C762" s="27"/>
      <c r="D762" s="27"/>
      <c r="E762" s="27"/>
      <c r="F762" s="27"/>
      <c r="G762" s="27" t="s">
        <v>3512</v>
      </c>
      <c r="H762" s="27" t="str">
        <f t="shared" si="174"/>
        <v>#REF!</v>
      </c>
      <c r="I762" s="27" t="s">
        <v>3515</v>
      </c>
      <c r="J762" s="27" t="s">
        <v>3516</v>
      </c>
      <c r="K762" s="79" t="str">
        <f t="shared" si="175"/>
        <v>#REF!</v>
      </c>
      <c r="L762" s="27" t="s">
        <v>3515</v>
      </c>
      <c r="M762" s="27" t="str">
        <f t="shared" si="176"/>
        <v>#REF!</v>
      </c>
      <c r="P762" s="78"/>
      <c r="Q762" s="6" t="str">
        <f t="shared" si="177"/>
        <v>#REF!</v>
      </c>
    </row>
    <row r="763" ht="12.0" customHeight="1">
      <c r="A763" s="22"/>
      <c r="B763" s="27" t="str">
        <f t="shared" si="173"/>
        <v>#REF!</v>
      </c>
      <c r="C763" s="27"/>
      <c r="D763" s="27"/>
      <c r="E763" s="27"/>
      <c r="F763" s="27"/>
      <c r="G763" s="27" t="s">
        <v>3512</v>
      </c>
      <c r="H763" s="27" t="str">
        <f t="shared" si="174"/>
        <v>#REF!</v>
      </c>
      <c r="I763" s="27" t="s">
        <v>3515</v>
      </c>
      <c r="J763" s="27" t="s">
        <v>3516</v>
      </c>
      <c r="K763" s="79" t="str">
        <f t="shared" si="175"/>
        <v>#REF!</v>
      </c>
      <c r="L763" s="27" t="s">
        <v>3515</v>
      </c>
      <c r="M763" s="27" t="str">
        <f t="shared" si="176"/>
        <v>#REF!</v>
      </c>
      <c r="P763" s="78"/>
      <c r="Q763" s="6" t="str">
        <f t="shared" si="177"/>
        <v>#REF!</v>
      </c>
    </row>
    <row r="764" ht="12.0" customHeight="1">
      <c r="A764" s="22"/>
      <c r="B764" s="27" t="str">
        <f t="shared" si="173"/>
        <v>#REF!</v>
      </c>
      <c r="C764" s="27"/>
      <c r="D764" s="27"/>
      <c r="E764" s="27"/>
      <c r="F764" s="27"/>
      <c r="G764" s="27" t="s">
        <v>3512</v>
      </c>
      <c r="H764" s="27" t="str">
        <f t="shared" si="174"/>
        <v>#REF!</v>
      </c>
      <c r="I764" s="27" t="s">
        <v>3515</v>
      </c>
      <c r="J764" s="27" t="s">
        <v>3516</v>
      </c>
      <c r="K764" s="79" t="str">
        <f t="shared" si="175"/>
        <v>#REF!</v>
      </c>
      <c r="L764" s="27" t="s">
        <v>3515</v>
      </c>
      <c r="M764" s="27" t="str">
        <f t="shared" si="176"/>
        <v>#REF!</v>
      </c>
      <c r="P764" s="78"/>
      <c r="Q764" s="6" t="str">
        <f t="shared" si="177"/>
        <v>#REF!</v>
      </c>
    </row>
    <row r="765" ht="12.0" customHeight="1">
      <c r="A765" s="22"/>
      <c r="B765" s="27" t="str">
        <f t="shared" si="173"/>
        <v>#REF!</v>
      </c>
      <c r="C765" s="27"/>
      <c r="D765" s="27"/>
      <c r="E765" s="27"/>
      <c r="F765" s="27"/>
      <c r="G765" s="27" t="s">
        <v>3512</v>
      </c>
      <c r="H765" s="27" t="str">
        <f t="shared" si="174"/>
        <v>#REF!</v>
      </c>
      <c r="I765" s="27" t="s">
        <v>3515</v>
      </c>
      <c r="J765" s="27" t="s">
        <v>3516</v>
      </c>
      <c r="K765" s="79" t="str">
        <f t="shared" si="175"/>
        <v>#REF!</v>
      </c>
      <c r="L765" s="27" t="s">
        <v>3515</v>
      </c>
      <c r="M765" s="27" t="str">
        <f t="shared" si="176"/>
        <v>#REF!</v>
      </c>
      <c r="P765" s="78"/>
      <c r="Q765" s="6" t="str">
        <f t="shared" si="177"/>
        <v>#REF!</v>
      </c>
    </row>
    <row r="766" ht="12.0" customHeight="1">
      <c r="A766" s="22"/>
      <c r="B766" s="27" t="str">
        <f t="shared" si="173"/>
        <v>#REF!</v>
      </c>
      <c r="C766" s="27"/>
      <c r="D766" s="27"/>
      <c r="E766" s="27"/>
      <c r="F766" s="27"/>
      <c r="G766" s="27" t="s">
        <v>3512</v>
      </c>
      <c r="H766" s="27" t="str">
        <f t="shared" si="174"/>
        <v>#REF!</v>
      </c>
      <c r="I766" s="27" t="s">
        <v>3515</v>
      </c>
      <c r="J766" s="27" t="s">
        <v>3516</v>
      </c>
      <c r="K766" s="79" t="str">
        <f t="shared" si="175"/>
        <v>#REF!</v>
      </c>
      <c r="L766" s="27" t="s">
        <v>3515</v>
      </c>
      <c r="M766" s="27" t="str">
        <f t="shared" si="176"/>
        <v>#REF!</v>
      </c>
      <c r="P766" s="78"/>
      <c r="Q766" s="6" t="str">
        <f t="shared" si="177"/>
        <v>#REF!</v>
      </c>
    </row>
    <row r="767" ht="12.0" customHeight="1">
      <c r="A767" s="22"/>
      <c r="B767" s="27" t="str">
        <f t="shared" si="173"/>
        <v>#REF!</v>
      </c>
      <c r="C767" s="27"/>
      <c r="D767" s="27"/>
      <c r="E767" s="27"/>
      <c r="F767" s="27"/>
      <c r="G767" s="27" t="s">
        <v>3512</v>
      </c>
      <c r="H767" s="27" t="str">
        <f t="shared" si="174"/>
        <v>#REF!</v>
      </c>
      <c r="I767" s="27" t="s">
        <v>3515</v>
      </c>
      <c r="J767" s="27" t="s">
        <v>3516</v>
      </c>
      <c r="K767" s="79" t="str">
        <f t="shared" si="175"/>
        <v>#REF!</v>
      </c>
      <c r="L767" s="27" t="s">
        <v>3515</v>
      </c>
      <c r="M767" s="27" t="str">
        <f t="shared" si="176"/>
        <v>#REF!</v>
      </c>
      <c r="P767" s="78"/>
      <c r="Q767" s="6" t="str">
        <f t="shared" si="177"/>
        <v>#REF!</v>
      </c>
    </row>
    <row r="768" ht="12.0" customHeight="1">
      <c r="A768" s="22"/>
      <c r="B768" s="27" t="str">
        <f t="shared" si="173"/>
        <v>#REF!</v>
      </c>
      <c r="C768" s="27"/>
      <c r="D768" s="27"/>
      <c r="E768" s="27"/>
      <c r="F768" s="27"/>
      <c r="G768" s="27" t="s">
        <v>3512</v>
      </c>
      <c r="H768" s="27" t="str">
        <f t="shared" si="174"/>
        <v>#REF!</v>
      </c>
      <c r="I768" s="27" t="s">
        <v>3515</v>
      </c>
      <c r="J768" s="27" t="s">
        <v>3516</v>
      </c>
      <c r="K768" s="79" t="str">
        <f t="shared" si="175"/>
        <v>#REF!</v>
      </c>
      <c r="L768" s="27" t="s">
        <v>3515</v>
      </c>
      <c r="M768" s="27" t="str">
        <f t="shared" si="176"/>
        <v>#REF!</v>
      </c>
      <c r="P768" s="78"/>
      <c r="Q768" s="6" t="str">
        <f t="shared" si="177"/>
        <v>#REF!</v>
      </c>
    </row>
    <row r="769" ht="12.0" customHeight="1">
      <c r="A769" s="22"/>
      <c r="B769" s="27" t="str">
        <f t="shared" si="173"/>
        <v>#REF!</v>
      </c>
      <c r="C769" s="27"/>
      <c r="D769" s="27"/>
      <c r="E769" s="27"/>
      <c r="F769" s="27"/>
      <c r="G769" s="27" t="s">
        <v>3512</v>
      </c>
      <c r="H769" s="27" t="str">
        <f t="shared" si="174"/>
        <v>#REF!</v>
      </c>
      <c r="I769" s="27" t="s">
        <v>3515</v>
      </c>
      <c r="J769" s="27" t="s">
        <v>3516</v>
      </c>
      <c r="K769" s="79" t="str">
        <f t="shared" si="175"/>
        <v>#REF!</v>
      </c>
      <c r="L769" s="27" t="s">
        <v>3515</v>
      </c>
      <c r="M769" s="27" t="str">
        <f t="shared" si="176"/>
        <v>#REF!</v>
      </c>
      <c r="P769" s="78"/>
      <c r="Q769" s="6" t="str">
        <f t="shared" si="177"/>
        <v>#REF!</v>
      </c>
    </row>
    <row r="770" ht="12.0" customHeight="1">
      <c r="A770" s="22"/>
      <c r="B770" s="27" t="str">
        <f t="shared" si="173"/>
        <v>#REF!</v>
      </c>
      <c r="C770" s="27"/>
      <c r="D770" s="27"/>
      <c r="E770" s="27"/>
      <c r="F770" s="27"/>
      <c r="G770" s="27" t="s">
        <v>3512</v>
      </c>
      <c r="H770" s="27" t="str">
        <f t="shared" si="174"/>
        <v>#REF!</v>
      </c>
      <c r="I770" s="27" t="s">
        <v>3515</v>
      </c>
      <c r="J770" s="27" t="s">
        <v>3516</v>
      </c>
      <c r="K770" s="79" t="str">
        <f t="shared" si="175"/>
        <v>#REF!</v>
      </c>
      <c r="L770" s="27" t="s">
        <v>3515</v>
      </c>
      <c r="M770" s="27" t="str">
        <f t="shared" si="176"/>
        <v>#REF!</v>
      </c>
      <c r="P770" s="78"/>
      <c r="Q770" s="6" t="str">
        <f t="shared" si="177"/>
        <v>#REF!</v>
      </c>
    </row>
    <row r="771" ht="12.0" customHeight="1">
      <c r="A771" s="22"/>
      <c r="B771" s="27" t="str">
        <f t="shared" si="173"/>
        <v>#REF!</v>
      </c>
      <c r="C771" s="27"/>
      <c r="D771" s="27"/>
      <c r="E771" s="27"/>
      <c r="F771" s="27"/>
      <c r="G771" s="27" t="s">
        <v>3512</v>
      </c>
      <c r="H771" s="27" t="str">
        <f t="shared" si="174"/>
        <v>#REF!</v>
      </c>
      <c r="I771" s="27" t="s">
        <v>3515</v>
      </c>
      <c r="J771" s="27" t="s">
        <v>3516</v>
      </c>
      <c r="K771" s="79" t="str">
        <f t="shared" si="175"/>
        <v>#REF!</v>
      </c>
      <c r="L771" s="27" t="s">
        <v>3515</v>
      </c>
      <c r="M771" s="27" t="str">
        <f t="shared" si="176"/>
        <v>#REF!</v>
      </c>
      <c r="P771" s="78"/>
      <c r="Q771" s="6" t="str">
        <f t="shared" si="177"/>
        <v>#REF!</v>
      </c>
    </row>
    <row r="772" ht="12.0" customHeight="1">
      <c r="A772" s="22"/>
      <c r="B772" s="27" t="str">
        <f t="shared" si="173"/>
        <v>#REF!</v>
      </c>
      <c r="C772" s="27"/>
      <c r="D772" s="27"/>
      <c r="E772" s="27"/>
      <c r="F772" s="27"/>
      <c r="G772" s="27" t="s">
        <v>3512</v>
      </c>
      <c r="H772" s="27" t="str">
        <f t="shared" si="174"/>
        <v>#REF!</v>
      </c>
      <c r="I772" s="27" t="s">
        <v>3515</v>
      </c>
      <c r="J772" s="27" t="s">
        <v>3516</v>
      </c>
      <c r="K772" s="79" t="str">
        <f t="shared" si="175"/>
        <v>#REF!</v>
      </c>
      <c r="L772" s="27" t="s">
        <v>3515</v>
      </c>
      <c r="M772" s="27" t="str">
        <f t="shared" si="176"/>
        <v>#REF!</v>
      </c>
      <c r="P772" s="78"/>
      <c r="Q772" s="6" t="str">
        <f t="shared" si="177"/>
        <v>#REF!</v>
      </c>
    </row>
    <row r="773" ht="12.0" customHeight="1">
      <c r="A773" s="22"/>
      <c r="B773" s="27" t="str">
        <f t="shared" si="173"/>
        <v>#REF!</v>
      </c>
      <c r="C773" s="27"/>
      <c r="D773" s="27"/>
      <c r="E773" s="27"/>
      <c r="F773" s="27"/>
      <c r="G773" s="27" t="s">
        <v>3512</v>
      </c>
      <c r="H773" s="27" t="str">
        <f t="shared" si="174"/>
        <v>#REF!</v>
      </c>
      <c r="I773" s="27" t="s">
        <v>3515</v>
      </c>
      <c r="J773" s="27" t="s">
        <v>3516</v>
      </c>
      <c r="K773" s="79" t="str">
        <f t="shared" si="175"/>
        <v>#REF!</v>
      </c>
      <c r="L773" s="27" t="s">
        <v>3515</v>
      </c>
      <c r="M773" s="27" t="str">
        <f t="shared" si="176"/>
        <v>#REF!</v>
      </c>
      <c r="P773" s="78"/>
      <c r="Q773" s="6" t="str">
        <f t="shared" si="177"/>
        <v>#REF!</v>
      </c>
    </row>
    <row r="774" ht="12.0" customHeight="1">
      <c r="A774" s="22"/>
      <c r="B774" s="27" t="str">
        <f t="shared" si="173"/>
        <v>#REF!</v>
      </c>
      <c r="C774" s="27"/>
      <c r="D774" s="27"/>
      <c r="E774" s="27"/>
      <c r="F774" s="27"/>
      <c r="G774" s="27" t="s">
        <v>3512</v>
      </c>
      <c r="H774" s="27" t="str">
        <f t="shared" si="174"/>
        <v>#REF!</v>
      </c>
      <c r="I774" s="27" t="s">
        <v>3515</v>
      </c>
      <c r="J774" s="27" t="s">
        <v>3516</v>
      </c>
      <c r="K774" s="79" t="str">
        <f t="shared" si="175"/>
        <v>#REF!</v>
      </c>
      <c r="L774" s="27" t="s">
        <v>3515</v>
      </c>
      <c r="M774" s="27" t="str">
        <f t="shared" si="176"/>
        <v>#REF!</v>
      </c>
      <c r="P774" s="78"/>
      <c r="Q774" s="6" t="str">
        <f t="shared" si="177"/>
        <v>#REF!</v>
      </c>
    </row>
    <row r="775" ht="12.0" customHeight="1">
      <c r="A775" s="22"/>
      <c r="B775" s="27" t="str">
        <f t="shared" si="173"/>
        <v>#REF!</v>
      </c>
      <c r="C775" s="27"/>
      <c r="D775" s="27"/>
      <c r="E775" s="27"/>
      <c r="F775" s="27"/>
      <c r="G775" s="27" t="s">
        <v>3512</v>
      </c>
      <c r="H775" s="27" t="str">
        <f t="shared" si="174"/>
        <v>#REF!</v>
      </c>
      <c r="I775" s="27" t="s">
        <v>3515</v>
      </c>
      <c r="J775" s="27" t="s">
        <v>3516</v>
      </c>
      <c r="K775" s="79" t="str">
        <f t="shared" si="175"/>
        <v>#REF!</v>
      </c>
      <c r="L775" s="27" t="s">
        <v>3515</v>
      </c>
      <c r="M775" s="27" t="str">
        <f t="shared" si="176"/>
        <v>#REF!</v>
      </c>
      <c r="P775" s="78"/>
      <c r="Q775" s="6" t="str">
        <f t="shared" si="177"/>
        <v>#REF!</v>
      </c>
    </row>
    <row r="776" ht="12.0" customHeight="1">
      <c r="A776" s="22"/>
      <c r="B776" s="27" t="str">
        <f t="shared" si="173"/>
        <v>#REF!</v>
      </c>
      <c r="C776" s="27"/>
      <c r="D776" s="27"/>
      <c r="E776" s="27"/>
      <c r="F776" s="27"/>
      <c r="G776" s="27" t="s">
        <v>3512</v>
      </c>
      <c r="H776" s="27" t="str">
        <f t="shared" si="174"/>
        <v>#REF!</v>
      </c>
      <c r="I776" s="27" t="s">
        <v>3515</v>
      </c>
      <c r="J776" s="27" t="s">
        <v>3516</v>
      </c>
      <c r="K776" s="79" t="str">
        <f t="shared" si="175"/>
        <v>#REF!</v>
      </c>
      <c r="L776" s="27" t="s">
        <v>3515</v>
      </c>
      <c r="M776" s="27" t="str">
        <f t="shared" si="176"/>
        <v>#REF!</v>
      </c>
      <c r="P776" s="78"/>
      <c r="Q776" s="6" t="str">
        <f t="shared" si="177"/>
        <v>#REF!</v>
      </c>
    </row>
    <row r="777" ht="12.0" customHeight="1">
      <c r="A777" s="22"/>
      <c r="B777" s="27" t="str">
        <f t="shared" si="173"/>
        <v>#REF!</v>
      </c>
      <c r="C777" s="27"/>
      <c r="D777" s="27"/>
      <c r="E777" s="27"/>
      <c r="F777" s="27"/>
      <c r="G777" s="27" t="s">
        <v>3512</v>
      </c>
      <c r="H777" s="27" t="str">
        <f t="shared" si="174"/>
        <v>#REF!</v>
      </c>
      <c r="I777" s="27" t="s">
        <v>3515</v>
      </c>
      <c r="J777" s="27" t="s">
        <v>3516</v>
      </c>
      <c r="K777" s="79" t="str">
        <f t="shared" si="175"/>
        <v>#REF!</v>
      </c>
      <c r="L777" s="27" t="s">
        <v>3515</v>
      </c>
      <c r="M777" s="27" t="str">
        <f t="shared" si="176"/>
        <v>#REF!</v>
      </c>
      <c r="P777" s="78"/>
      <c r="Q777" s="6" t="str">
        <f t="shared" si="177"/>
        <v>#REF!</v>
      </c>
    </row>
    <row r="778" ht="12.0" customHeight="1">
      <c r="A778" s="22"/>
      <c r="B778" s="27" t="str">
        <f t="shared" si="173"/>
        <v>#REF!</v>
      </c>
      <c r="C778" s="27"/>
      <c r="D778" s="27"/>
      <c r="E778" s="27"/>
      <c r="F778" s="27"/>
      <c r="G778" s="27" t="s">
        <v>3512</v>
      </c>
      <c r="H778" s="27" t="str">
        <f t="shared" si="174"/>
        <v>#REF!</v>
      </c>
      <c r="I778" s="27" t="s">
        <v>3515</v>
      </c>
      <c r="J778" s="27" t="s">
        <v>3516</v>
      </c>
      <c r="K778" s="79" t="str">
        <f t="shared" si="175"/>
        <v>#REF!</v>
      </c>
      <c r="L778" s="27" t="s">
        <v>3515</v>
      </c>
      <c r="M778" s="27" t="str">
        <f t="shared" si="176"/>
        <v>#REF!</v>
      </c>
      <c r="P778" s="78"/>
      <c r="Q778" s="6" t="str">
        <f t="shared" si="177"/>
        <v>#REF!</v>
      </c>
    </row>
    <row r="779" ht="12.0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79"/>
      <c r="L779" s="27"/>
      <c r="M779" s="27"/>
      <c r="N779" s="27"/>
      <c r="O779" s="27"/>
      <c r="P779" s="90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2.0" customHeight="1">
      <c r="A780" s="27"/>
      <c r="B780" s="22" t="s">
        <v>174</v>
      </c>
      <c r="C780" s="27"/>
      <c r="D780" s="27"/>
      <c r="E780" s="27"/>
      <c r="F780" s="27"/>
      <c r="G780" s="27"/>
      <c r="H780" s="27"/>
      <c r="I780" s="27"/>
      <c r="J780" s="27"/>
      <c r="K780" s="79"/>
      <c r="L780" s="27"/>
      <c r="M780" s="27"/>
      <c r="N780" s="27"/>
      <c r="O780" s="27"/>
      <c r="P780" s="90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2.0" customHeight="1">
      <c r="A781" s="27"/>
      <c r="B781" s="22" t="s">
        <v>3963</v>
      </c>
      <c r="C781" s="27"/>
      <c r="D781" s="27"/>
      <c r="E781" s="27"/>
      <c r="F781" s="27"/>
      <c r="G781" s="27"/>
      <c r="H781" s="27"/>
      <c r="I781" s="27"/>
      <c r="J781" s="27"/>
      <c r="K781" s="79"/>
      <c r="L781" s="27"/>
      <c r="M781" s="27"/>
      <c r="N781" s="27"/>
      <c r="O781" s="27"/>
      <c r="P781" s="90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2.0" customHeight="1">
      <c r="A782" s="22"/>
      <c r="B782" s="22" t="s">
        <v>174</v>
      </c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P782" s="78"/>
    </row>
    <row r="783" ht="12.0" customHeight="1">
      <c r="A783" s="22"/>
      <c r="B783" s="27" t="str">
        <f t="shared" ref="B783:B793" si="178">'Exile INPUT'!C721</f>
        <v>#REF!</v>
      </c>
      <c r="C783" s="27"/>
      <c r="D783" s="27"/>
      <c r="E783" s="27"/>
      <c r="F783" s="27"/>
      <c r="G783" s="27" t="s">
        <v>3512</v>
      </c>
      <c r="H783" s="27" t="str">
        <f t="shared" ref="H783:H793" si="179">'Exile INPUT'!F721</f>
        <v>#REF!</v>
      </c>
      <c r="I783" s="27" t="s">
        <v>3515</v>
      </c>
      <c r="J783" s="27" t="s">
        <v>3516</v>
      </c>
      <c r="K783" s="79" t="str">
        <f t="shared" ref="K783:K793" si="180">'Exile INPUT'!J721</f>
        <v>#REF!</v>
      </c>
      <c r="L783" s="27" t="s">
        <v>3515</v>
      </c>
      <c r="M783" s="27" t="str">
        <f t="shared" ref="M783:M793" si="181">IF(Q783 = 0, "};",CONCATENATE("sellPrice = ",Q783,"; };"))</f>
        <v>#REF!</v>
      </c>
      <c r="P783" s="78"/>
      <c r="Q783" s="6" t="str">
        <f t="shared" ref="Q783:Q793" si="182">K783*$X$12</f>
        <v>#REF!</v>
      </c>
    </row>
    <row r="784" ht="12.0" customHeight="1">
      <c r="A784" s="22"/>
      <c r="B784" s="27" t="str">
        <f t="shared" si="178"/>
        <v>#REF!</v>
      </c>
      <c r="C784" s="27"/>
      <c r="D784" s="27"/>
      <c r="E784" s="27"/>
      <c r="F784" s="27"/>
      <c r="G784" s="27" t="s">
        <v>3512</v>
      </c>
      <c r="H784" s="27" t="str">
        <f t="shared" si="179"/>
        <v>#REF!</v>
      </c>
      <c r="I784" s="27" t="s">
        <v>3515</v>
      </c>
      <c r="J784" s="27" t="s">
        <v>3516</v>
      </c>
      <c r="K784" s="79" t="str">
        <f t="shared" si="180"/>
        <v>#REF!</v>
      </c>
      <c r="L784" s="27" t="s">
        <v>3515</v>
      </c>
      <c r="M784" s="27" t="str">
        <f t="shared" si="181"/>
        <v>#REF!</v>
      </c>
      <c r="P784" s="78"/>
      <c r="Q784" s="6" t="str">
        <f t="shared" si="182"/>
        <v>#REF!</v>
      </c>
    </row>
    <row r="785" ht="12.0" customHeight="1">
      <c r="A785" s="22"/>
      <c r="B785" s="27" t="str">
        <f t="shared" si="178"/>
        <v>#REF!</v>
      </c>
      <c r="C785" s="27"/>
      <c r="D785" s="27"/>
      <c r="E785" s="27"/>
      <c r="F785" s="27"/>
      <c r="G785" s="27" t="s">
        <v>3512</v>
      </c>
      <c r="H785" s="27" t="str">
        <f t="shared" si="179"/>
        <v>#REF!</v>
      </c>
      <c r="I785" s="27" t="s">
        <v>3515</v>
      </c>
      <c r="J785" s="27" t="s">
        <v>3516</v>
      </c>
      <c r="K785" s="79" t="str">
        <f t="shared" si="180"/>
        <v>#REF!</v>
      </c>
      <c r="L785" s="27" t="s">
        <v>3515</v>
      </c>
      <c r="M785" s="27" t="str">
        <f t="shared" si="181"/>
        <v>#REF!</v>
      </c>
      <c r="P785" s="78"/>
      <c r="Q785" s="6" t="str">
        <f t="shared" si="182"/>
        <v>#REF!</v>
      </c>
    </row>
    <row r="786" ht="12.0" customHeight="1">
      <c r="A786" s="22"/>
      <c r="B786" s="27" t="str">
        <f t="shared" si="178"/>
        <v>#REF!</v>
      </c>
      <c r="C786" s="27"/>
      <c r="D786" s="27"/>
      <c r="E786" s="27"/>
      <c r="F786" s="27"/>
      <c r="G786" s="27" t="s">
        <v>3512</v>
      </c>
      <c r="H786" s="27" t="str">
        <f t="shared" si="179"/>
        <v>#REF!</v>
      </c>
      <c r="I786" s="27" t="s">
        <v>3515</v>
      </c>
      <c r="J786" s="27" t="s">
        <v>3516</v>
      </c>
      <c r="K786" s="79" t="str">
        <f t="shared" si="180"/>
        <v>#REF!</v>
      </c>
      <c r="L786" s="27" t="s">
        <v>3515</v>
      </c>
      <c r="M786" s="27" t="str">
        <f t="shared" si="181"/>
        <v>#REF!</v>
      </c>
      <c r="P786" s="78"/>
      <c r="Q786" s="6" t="str">
        <f t="shared" si="182"/>
        <v>#REF!</v>
      </c>
    </row>
    <row r="787" ht="12.0" customHeight="1">
      <c r="A787" s="22"/>
      <c r="B787" s="27" t="str">
        <f t="shared" si="178"/>
        <v>#REF!</v>
      </c>
      <c r="C787" s="27"/>
      <c r="D787" s="27"/>
      <c r="E787" s="27"/>
      <c r="F787" s="27"/>
      <c r="G787" s="27" t="s">
        <v>3512</v>
      </c>
      <c r="H787" s="27" t="str">
        <f t="shared" si="179"/>
        <v>#REF!</v>
      </c>
      <c r="I787" s="27" t="s">
        <v>3515</v>
      </c>
      <c r="J787" s="27" t="s">
        <v>3516</v>
      </c>
      <c r="K787" s="79" t="str">
        <f t="shared" si="180"/>
        <v>#REF!</v>
      </c>
      <c r="L787" s="27" t="s">
        <v>3515</v>
      </c>
      <c r="M787" s="27" t="str">
        <f t="shared" si="181"/>
        <v>#REF!</v>
      </c>
      <c r="P787" s="78"/>
      <c r="Q787" s="6" t="str">
        <f t="shared" si="182"/>
        <v>#REF!</v>
      </c>
    </row>
    <row r="788" ht="12.0" customHeight="1">
      <c r="A788" s="22"/>
      <c r="B788" s="27" t="str">
        <f t="shared" si="178"/>
        <v>#REF!</v>
      </c>
      <c r="C788" s="27"/>
      <c r="D788" s="27"/>
      <c r="E788" s="27"/>
      <c r="F788" s="27"/>
      <c r="G788" s="27" t="s">
        <v>3512</v>
      </c>
      <c r="H788" s="27" t="str">
        <f t="shared" si="179"/>
        <v>#REF!</v>
      </c>
      <c r="I788" s="27" t="s">
        <v>3515</v>
      </c>
      <c r="J788" s="27" t="s">
        <v>3516</v>
      </c>
      <c r="K788" s="79" t="str">
        <f t="shared" si="180"/>
        <v>#REF!</v>
      </c>
      <c r="L788" s="27" t="s">
        <v>3515</v>
      </c>
      <c r="M788" s="27" t="str">
        <f t="shared" si="181"/>
        <v>#REF!</v>
      </c>
      <c r="P788" s="78"/>
      <c r="Q788" s="6" t="str">
        <f t="shared" si="182"/>
        <v>#REF!</v>
      </c>
    </row>
    <row r="789" ht="12.0" customHeight="1">
      <c r="A789" s="22"/>
      <c r="B789" s="27" t="str">
        <f t="shared" si="178"/>
        <v>#REF!</v>
      </c>
      <c r="C789" s="27"/>
      <c r="D789" s="27"/>
      <c r="E789" s="27"/>
      <c r="F789" s="27"/>
      <c r="G789" s="27" t="s">
        <v>3512</v>
      </c>
      <c r="H789" s="27" t="str">
        <f t="shared" si="179"/>
        <v>#REF!</v>
      </c>
      <c r="I789" s="27" t="s">
        <v>3515</v>
      </c>
      <c r="J789" s="27" t="s">
        <v>3516</v>
      </c>
      <c r="K789" s="79" t="str">
        <f t="shared" si="180"/>
        <v>#REF!</v>
      </c>
      <c r="L789" s="27" t="s">
        <v>3515</v>
      </c>
      <c r="M789" s="27" t="str">
        <f t="shared" si="181"/>
        <v>#REF!</v>
      </c>
      <c r="P789" s="78"/>
      <c r="Q789" s="6" t="str">
        <f t="shared" si="182"/>
        <v>#REF!</v>
      </c>
    </row>
    <row r="790" ht="12.0" customHeight="1">
      <c r="A790" s="22"/>
      <c r="B790" s="27" t="str">
        <f t="shared" si="178"/>
        <v>#REF!</v>
      </c>
      <c r="C790" s="27"/>
      <c r="D790" s="27"/>
      <c r="E790" s="27"/>
      <c r="F790" s="27"/>
      <c r="G790" s="27" t="s">
        <v>3512</v>
      </c>
      <c r="H790" s="27" t="str">
        <f t="shared" si="179"/>
        <v>#REF!</v>
      </c>
      <c r="I790" s="27" t="s">
        <v>3515</v>
      </c>
      <c r="J790" s="27" t="s">
        <v>3516</v>
      </c>
      <c r="K790" s="79" t="str">
        <f t="shared" si="180"/>
        <v>#REF!</v>
      </c>
      <c r="L790" s="27" t="s">
        <v>3515</v>
      </c>
      <c r="M790" s="27" t="str">
        <f t="shared" si="181"/>
        <v>#REF!</v>
      </c>
      <c r="P790" s="78"/>
      <c r="Q790" s="6" t="str">
        <f t="shared" si="182"/>
        <v>#REF!</v>
      </c>
    </row>
    <row r="791" ht="12.0" customHeight="1">
      <c r="A791" s="22"/>
      <c r="B791" s="27" t="str">
        <f t="shared" si="178"/>
        <v>#REF!</v>
      </c>
      <c r="C791" s="27"/>
      <c r="D791" s="27"/>
      <c r="E791" s="27"/>
      <c r="F791" s="27"/>
      <c r="G791" s="27" t="s">
        <v>3512</v>
      </c>
      <c r="H791" s="27" t="str">
        <f t="shared" si="179"/>
        <v>#REF!</v>
      </c>
      <c r="I791" s="27" t="s">
        <v>3515</v>
      </c>
      <c r="J791" s="27" t="s">
        <v>3516</v>
      </c>
      <c r="K791" s="79" t="str">
        <f t="shared" si="180"/>
        <v>#REF!</v>
      </c>
      <c r="L791" s="27" t="s">
        <v>3515</v>
      </c>
      <c r="M791" s="27" t="str">
        <f t="shared" si="181"/>
        <v>#REF!</v>
      </c>
      <c r="P791" s="78"/>
      <c r="Q791" s="6" t="str">
        <f t="shared" si="182"/>
        <v>#REF!</v>
      </c>
    </row>
    <row r="792" ht="12.0" customHeight="1">
      <c r="A792" s="22"/>
      <c r="B792" s="27" t="str">
        <f t="shared" si="178"/>
        <v>#REF!</v>
      </c>
      <c r="C792" s="27"/>
      <c r="D792" s="27"/>
      <c r="E792" s="27"/>
      <c r="F792" s="27"/>
      <c r="G792" s="27" t="s">
        <v>3512</v>
      </c>
      <c r="H792" s="27" t="str">
        <f t="shared" si="179"/>
        <v>#REF!</v>
      </c>
      <c r="I792" s="27" t="s">
        <v>3515</v>
      </c>
      <c r="J792" s="27" t="s">
        <v>3516</v>
      </c>
      <c r="K792" s="79" t="str">
        <f t="shared" si="180"/>
        <v>#REF!</v>
      </c>
      <c r="L792" s="27" t="s">
        <v>3515</v>
      </c>
      <c r="M792" s="27" t="str">
        <f t="shared" si="181"/>
        <v>#REF!</v>
      </c>
      <c r="P792" s="78"/>
      <c r="Q792" s="6" t="str">
        <f t="shared" si="182"/>
        <v>#REF!</v>
      </c>
    </row>
    <row r="793" ht="12.0" customHeight="1">
      <c r="A793" s="22"/>
      <c r="B793" s="27" t="str">
        <f t="shared" si="178"/>
        <v>#REF!</v>
      </c>
      <c r="C793" s="27"/>
      <c r="D793" s="27"/>
      <c r="E793" s="27"/>
      <c r="F793" s="27"/>
      <c r="G793" s="27" t="s">
        <v>3512</v>
      </c>
      <c r="H793" s="27" t="str">
        <f t="shared" si="179"/>
        <v>#REF!</v>
      </c>
      <c r="I793" s="27" t="s">
        <v>3515</v>
      </c>
      <c r="J793" s="27" t="s">
        <v>3516</v>
      </c>
      <c r="K793" s="79" t="str">
        <f t="shared" si="180"/>
        <v>#REF!</v>
      </c>
      <c r="L793" s="27" t="s">
        <v>3515</v>
      </c>
      <c r="M793" s="27" t="str">
        <f t="shared" si="181"/>
        <v>#REF!</v>
      </c>
      <c r="P793" s="78"/>
      <c r="Q793" s="6" t="str">
        <f t="shared" si="182"/>
        <v>#REF!</v>
      </c>
    </row>
    <row r="794" ht="12.0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79"/>
      <c r="L794" s="27"/>
      <c r="M794" s="27"/>
      <c r="N794" s="27"/>
      <c r="O794" s="27"/>
      <c r="P794" s="90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2.0" customHeight="1">
      <c r="A795" s="27"/>
      <c r="B795" s="22" t="s">
        <v>174</v>
      </c>
      <c r="C795" s="27"/>
      <c r="D795" s="27"/>
      <c r="E795" s="27"/>
      <c r="F795" s="27"/>
      <c r="G795" s="27"/>
      <c r="H795" s="27"/>
      <c r="I795" s="27"/>
      <c r="J795" s="27"/>
      <c r="K795" s="79"/>
      <c r="L795" s="27"/>
      <c r="M795" s="27"/>
      <c r="N795" s="27"/>
      <c r="O795" s="27"/>
      <c r="P795" s="90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2.0" customHeight="1">
      <c r="A796" s="22"/>
      <c r="B796" s="22" t="s">
        <v>3964</v>
      </c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P796" s="78"/>
    </row>
    <row r="797" ht="12.0" customHeight="1">
      <c r="A797" s="22"/>
      <c r="B797" s="22" t="s">
        <v>174</v>
      </c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P797" s="78"/>
    </row>
    <row r="798" ht="12.0" customHeight="1">
      <c r="A798" s="22"/>
      <c r="B798" s="27" t="str">
        <f t="shared" ref="B798:B808" si="183">'Exile INPUT'!C734</f>
        <v>#REF!</v>
      </c>
      <c r="C798" s="27"/>
      <c r="D798" s="27"/>
      <c r="E798" s="27"/>
      <c r="F798" s="27"/>
      <c r="G798" s="27" t="s">
        <v>3512</v>
      </c>
      <c r="H798" s="27" t="str">
        <f t="shared" ref="H798:H808" si="184">'Exile INPUT'!F734</f>
        <v>#REF!</v>
      </c>
      <c r="I798" s="27" t="s">
        <v>3515</v>
      </c>
      <c r="J798" s="27" t="s">
        <v>3516</v>
      </c>
      <c r="K798" s="79" t="str">
        <f t="shared" ref="K798:K808" si="185">'Exile INPUT'!J734</f>
        <v>#REF!</v>
      </c>
      <c r="L798" s="27" t="s">
        <v>3515</v>
      </c>
      <c r="M798" s="27" t="str">
        <f t="shared" ref="M798:M808" si="186">IF(Q798 = 0, "};",CONCATENATE("sellPrice = ",Q798,"; };"))</f>
        <v>#REF!</v>
      </c>
      <c r="P798" s="78"/>
      <c r="Q798" s="6" t="str">
        <f t="shared" ref="Q798:Q808" si="187">K798*$X$12</f>
        <v>#REF!</v>
      </c>
    </row>
    <row r="799" ht="12.0" customHeight="1">
      <c r="A799" s="22"/>
      <c r="B799" s="27" t="str">
        <f t="shared" si="183"/>
        <v>#REF!</v>
      </c>
      <c r="C799" s="27"/>
      <c r="D799" s="27"/>
      <c r="E799" s="27"/>
      <c r="F799" s="27"/>
      <c r="G799" s="27" t="s">
        <v>3512</v>
      </c>
      <c r="H799" s="27" t="str">
        <f t="shared" si="184"/>
        <v>#REF!</v>
      </c>
      <c r="I799" s="27" t="s">
        <v>3515</v>
      </c>
      <c r="J799" s="27" t="s">
        <v>3516</v>
      </c>
      <c r="K799" s="79" t="str">
        <f t="shared" si="185"/>
        <v>#REF!</v>
      </c>
      <c r="L799" s="27" t="s">
        <v>3515</v>
      </c>
      <c r="M799" s="27" t="str">
        <f t="shared" si="186"/>
        <v>#REF!</v>
      </c>
      <c r="P799" s="78"/>
      <c r="Q799" s="6" t="str">
        <f t="shared" si="187"/>
        <v>#REF!</v>
      </c>
    </row>
    <row r="800" ht="12.0" customHeight="1">
      <c r="A800" s="22"/>
      <c r="B800" s="27" t="str">
        <f t="shared" si="183"/>
        <v>#REF!</v>
      </c>
      <c r="C800" s="27"/>
      <c r="D800" s="27"/>
      <c r="E800" s="27"/>
      <c r="F800" s="27"/>
      <c r="G800" s="27" t="s">
        <v>3512</v>
      </c>
      <c r="H800" s="27" t="str">
        <f t="shared" si="184"/>
        <v>#REF!</v>
      </c>
      <c r="I800" s="27" t="s">
        <v>3515</v>
      </c>
      <c r="J800" s="27" t="s">
        <v>3516</v>
      </c>
      <c r="K800" s="79" t="str">
        <f t="shared" si="185"/>
        <v>#REF!</v>
      </c>
      <c r="L800" s="27" t="s">
        <v>3515</v>
      </c>
      <c r="M800" s="27" t="str">
        <f t="shared" si="186"/>
        <v>#REF!</v>
      </c>
      <c r="P800" s="78"/>
      <c r="Q800" s="6" t="str">
        <f t="shared" si="187"/>
        <v>#REF!</v>
      </c>
    </row>
    <row r="801" ht="12.0" customHeight="1">
      <c r="A801" s="22"/>
      <c r="B801" s="27" t="str">
        <f t="shared" si="183"/>
        <v>#REF!</v>
      </c>
      <c r="C801" s="27"/>
      <c r="D801" s="27"/>
      <c r="E801" s="27"/>
      <c r="F801" s="27"/>
      <c r="G801" s="27" t="s">
        <v>3512</v>
      </c>
      <c r="H801" s="27" t="str">
        <f t="shared" si="184"/>
        <v>#REF!</v>
      </c>
      <c r="I801" s="27" t="s">
        <v>3515</v>
      </c>
      <c r="J801" s="27" t="s">
        <v>3516</v>
      </c>
      <c r="K801" s="79" t="str">
        <f t="shared" si="185"/>
        <v>#REF!</v>
      </c>
      <c r="L801" s="27" t="s">
        <v>3515</v>
      </c>
      <c r="M801" s="27" t="str">
        <f t="shared" si="186"/>
        <v>#REF!</v>
      </c>
      <c r="P801" s="78"/>
      <c r="Q801" s="6" t="str">
        <f t="shared" si="187"/>
        <v>#REF!</v>
      </c>
    </row>
    <row r="802" ht="12.0" customHeight="1">
      <c r="A802" s="22"/>
      <c r="B802" s="27" t="str">
        <f t="shared" si="183"/>
        <v>#REF!</v>
      </c>
      <c r="C802" s="27"/>
      <c r="D802" s="27"/>
      <c r="E802" s="27"/>
      <c r="F802" s="27"/>
      <c r="G802" s="27" t="s">
        <v>3512</v>
      </c>
      <c r="H802" s="27" t="str">
        <f t="shared" si="184"/>
        <v>#REF!</v>
      </c>
      <c r="I802" s="27" t="s">
        <v>3515</v>
      </c>
      <c r="J802" s="27" t="s">
        <v>3516</v>
      </c>
      <c r="K802" s="79" t="str">
        <f t="shared" si="185"/>
        <v>#REF!</v>
      </c>
      <c r="L802" s="27" t="s">
        <v>3515</v>
      </c>
      <c r="M802" s="27" t="str">
        <f t="shared" si="186"/>
        <v>#REF!</v>
      </c>
      <c r="P802" s="78"/>
      <c r="Q802" s="6" t="str">
        <f t="shared" si="187"/>
        <v>#REF!</v>
      </c>
    </row>
    <row r="803" ht="12.0" customHeight="1">
      <c r="A803" s="22"/>
      <c r="B803" s="27" t="str">
        <f t="shared" si="183"/>
        <v>#REF!</v>
      </c>
      <c r="C803" s="27"/>
      <c r="D803" s="27"/>
      <c r="E803" s="27"/>
      <c r="F803" s="27"/>
      <c r="G803" s="27" t="s">
        <v>3512</v>
      </c>
      <c r="H803" s="27" t="str">
        <f t="shared" si="184"/>
        <v>#REF!</v>
      </c>
      <c r="I803" s="27" t="s">
        <v>3515</v>
      </c>
      <c r="J803" s="27" t="s">
        <v>3516</v>
      </c>
      <c r="K803" s="79" t="str">
        <f t="shared" si="185"/>
        <v>#REF!</v>
      </c>
      <c r="L803" s="27" t="s">
        <v>3515</v>
      </c>
      <c r="M803" s="27" t="str">
        <f t="shared" si="186"/>
        <v>#REF!</v>
      </c>
      <c r="P803" s="78"/>
      <c r="Q803" s="6" t="str">
        <f t="shared" si="187"/>
        <v>#REF!</v>
      </c>
    </row>
    <row r="804" ht="12.0" customHeight="1">
      <c r="A804" s="22"/>
      <c r="B804" s="27" t="str">
        <f t="shared" si="183"/>
        <v>#REF!</v>
      </c>
      <c r="C804" s="27"/>
      <c r="D804" s="27"/>
      <c r="E804" s="27"/>
      <c r="F804" s="27"/>
      <c r="G804" s="27" t="s">
        <v>3512</v>
      </c>
      <c r="H804" s="27" t="str">
        <f t="shared" si="184"/>
        <v>#REF!</v>
      </c>
      <c r="I804" s="27" t="s">
        <v>3515</v>
      </c>
      <c r="J804" s="27" t="s">
        <v>3516</v>
      </c>
      <c r="K804" s="79" t="str">
        <f t="shared" si="185"/>
        <v>#REF!</v>
      </c>
      <c r="L804" s="27" t="s">
        <v>3515</v>
      </c>
      <c r="M804" s="27" t="str">
        <f t="shared" si="186"/>
        <v>#REF!</v>
      </c>
      <c r="P804" s="78"/>
      <c r="Q804" s="6" t="str">
        <f t="shared" si="187"/>
        <v>#REF!</v>
      </c>
    </row>
    <row r="805" ht="12.0" customHeight="1">
      <c r="A805" s="22"/>
      <c r="B805" s="27" t="str">
        <f t="shared" si="183"/>
        <v>#REF!</v>
      </c>
      <c r="C805" s="27"/>
      <c r="D805" s="27"/>
      <c r="E805" s="27"/>
      <c r="F805" s="27"/>
      <c r="G805" s="27" t="s">
        <v>3512</v>
      </c>
      <c r="H805" s="27" t="str">
        <f t="shared" si="184"/>
        <v>#REF!</v>
      </c>
      <c r="I805" s="27" t="s">
        <v>3515</v>
      </c>
      <c r="J805" s="27" t="s">
        <v>3516</v>
      </c>
      <c r="K805" s="79" t="str">
        <f t="shared" si="185"/>
        <v>#REF!</v>
      </c>
      <c r="L805" s="27" t="s">
        <v>3515</v>
      </c>
      <c r="M805" s="27" t="str">
        <f t="shared" si="186"/>
        <v>#REF!</v>
      </c>
      <c r="P805" s="78"/>
      <c r="Q805" s="6" t="str">
        <f t="shared" si="187"/>
        <v>#REF!</v>
      </c>
    </row>
    <row r="806" ht="12.0" customHeight="1">
      <c r="A806" s="22"/>
      <c r="B806" s="27" t="str">
        <f t="shared" si="183"/>
        <v>#REF!</v>
      </c>
      <c r="C806" s="27"/>
      <c r="D806" s="27"/>
      <c r="E806" s="27"/>
      <c r="F806" s="27"/>
      <c r="G806" s="27" t="s">
        <v>3512</v>
      </c>
      <c r="H806" s="27" t="str">
        <f t="shared" si="184"/>
        <v>#REF!</v>
      </c>
      <c r="I806" s="27" t="s">
        <v>3515</v>
      </c>
      <c r="J806" s="27" t="s">
        <v>3516</v>
      </c>
      <c r="K806" s="79" t="str">
        <f t="shared" si="185"/>
        <v>#REF!</v>
      </c>
      <c r="L806" s="27" t="s">
        <v>3515</v>
      </c>
      <c r="M806" s="27" t="str">
        <f t="shared" si="186"/>
        <v>#REF!</v>
      </c>
      <c r="P806" s="78"/>
      <c r="Q806" s="6" t="str">
        <f t="shared" si="187"/>
        <v>#REF!</v>
      </c>
    </row>
    <row r="807" ht="12.0" customHeight="1">
      <c r="A807" s="22"/>
      <c r="B807" s="27" t="str">
        <f t="shared" si="183"/>
        <v>#REF!</v>
      </c>
      <c r="C807" s="27"/>
      <c r="D807" s="27"/>
      <c r="E807" s="27"/>
      <c r="F807" s="27"/>
      <c r="G807" s="27" t="s">
        <v>3512</v>
      </c>
      <c r="H807" s="27" t="str">
        <f t="shared" si="184"/>
        <v>#REF!</v>
      </c>
      <c r="I807" s="27" t="s">
        <v>3515</v>
      </c>
      <c r="J807" s="27" t="s">
        <v>3516</v>
      </c>
      <c r="K807" s="79" t="str">
        <f t="shared" si="185"/>
        <v>#REF!</v>
      </c>
      <c r="L807" s="27" t="s">
        <v>3515</v>
      </c>
      <c r="M807" s="27" t="str">
        <f t="shared" si="186"/>
        <v>#REF!</v>
      </c>
      <c r="P807" s="78"/>
      <c r="Q807" s="6" t="str">
        <f t="shared" si="187"/>
        <v>#REF!</v>
      </c>
    </row>
    <row r="808" ht="12.0" customHeight="1">
      <c r="A808" s="22"/>
      <c r="B808" s="27" t="str">
        <f t="shared" si="183"/>
        <v>#REF!</v>
      </c>
      <c r="C808" s="27"/>
      <c r="D808" s="27"/>
      <c r="E808" s="27"/>
      <c r="F808" s="27"/>
      <c r="G808" s="27" t="s">
        <v>3512</v>
      </c>
      <c r="H808" s="27" t="str">
        <f t="shared" si="184"/>
        <v>#REF!</v>
      </c>
      <c r="I808" s="27" t="s">
        <v>3515</v>
      </c>
      <c r="J808" s="27" t="s">
        <v>3516</v>
      </c>
      <c r="K808" s="79" t="str">
        <f t="shared" si="185"/>
        <v>#REF!</v>
      </c>
      <c r="L808" s="27" t="s">
        <v>3515</v>
      </c>
      <c r="M808" s="27" t="str">
        <f t="shared" si="186"/>
        <v>#REF!</v>
      </c>
      <c r="P808" s="78"/>
      <c r="Q808" s="6" t="str">
        <f t="shared" si="187"/>
        <v>#REF!</v>
      </c>
    </row>
    <row r="809" ht="12.0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79"/>
      <c r="L809" s="27"/>
      <c r="M809" s="27"/>
      <c r="N809" s="27"/>
      <c r="O809" s="27"/>
      <c r="P809" s="90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2.0" customHeight="1">
      <c r="A810" s="27"/>
      <c r="B810" s="22" t="s">
        <v>174</v>
      </c>
      <c r="C810" s="27"/>
      <c r="D810" s="27"/>
      <c r="E810" s="27"/>
      <c r="F810" s="27"/>
      <c r="G810" s="27"/>
      <c r="H810" s="27"/>
      <c r="I810" s="27"/>
      <c r="J810" s="27"/>
      <c r="K810" s="79"/>
      <c r="L810" s="27"/>
      <c r="M810" s="27"/>
      <c r="N810" s="27"/>
      <c r="O810" s="27"/>
      <c r="P810" s="90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2.0" customHeight="1">
      <c r="A811" s="27"/>
      <c r="B811" s="22" t="s">
        <v>3965</v>
      </c>
      <c r="C811" s="27"/>
      <c r="D811" s="27"/>
      <c r="E811" s="27"/>
      <c r="F811" s="27"/>
      <c r="G811" s="27"/>
      <c r="H811" s="27"/>
      <c r="I811" s="27"/>
      <c r="J811" s="27"/>
      <c r="K811" s="79"/>
      <c r="L811" s="27"/>
      <c r="M811" s="27"/>
      <c r="N811" s="27"/>
      <c r="O811" s="27"/>
      <c r="P811" s="90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2.0" customHeight="1">
      <c r="A812" s="22"/>
      <c r="B812" s="22" t="s">
        <v>174</v>
      </c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P812" s="78"/>
    </row>
    <row r="813" ht="12.0" customHeight="1">
      <c r="A813" s="22"/>
      <c r="B813" s="27" t="str">
        <f t="shared" ref="B813:B818" si="188">'Exile INPUT'!C746</f>
        <v>#REF!</v>
      </c>
      <c r="C813" s="27"/>
      <c r="D813" s="27"/>
      <c r="E813" s="27"/>
      <c r="F813" s="27"/>
      <c r="G813" s="27" t="s">
        <v>3512</v>
      </c>
      <c r="H813" s="27" t="str">
        <f t="shared" ref="H813:H818" si="189">'Exile INPUT'!F746</f>
        <v>#REF!</v>
      </c>
      <c r="I813" s="27" t="s">
        <v>3515</v>
      </c>
      <c r="J813" s="27" t="s">
        <v>3516</v>
      </c>
      <c r="K813" s="79" t="str">
        <f t="shared" ref="K813:K818" si="190">'Exile INPUT'!J746</f>
        <v>#REF!</v>
      </c>
      <c r="L813" s="27" t="s">
        <v>3515</v>
      </c>
      <c r="M813" s="27" t="str">
        <f t="shared" ref="M813:M818" si="191">IF(Q813 = 0, "};",CONCATENATE("sellPrice = ",Q813,"; };"))</f>
        <v>#REF!</v>
      </c>
      <c r="P813" s="78"/>
      <c r="Q813" s="6" t="str">
        <f t="shared" ref="Q813:Q818" si="192">K813*$X$12</f>
        <v>#REF!</v>
      </c>
    </row>
    <row r="814" ht="12.0" customHeight="1">
      <c r="A814" s="22"/>
      <c r="B814" s="27" t="str">
        <f t="shared" si="188"/>
        <v>#REF!</v>
      </c>
      <c r="C814" s="27"/>
      <c r="D814" s="27"/>
      <c r="E814" s="27"/>
      <c r="F814" s="27"/>
      <c r="G814" s="27" t="s">
        <v>3512</v>
      </c>
      <c r="H814" s="27" t="str">
        <f t="shared" si="189"/>
        <v>#REF!</v>
      </c>
      <c r="I814" s="27" t="s">
        <v>3515</v>
      </c>
      <c r="J814" s="27" t="s">
        <v>3516</v>
      </c>
      <c r="K814" s="79" t="str">
        <f t="shared" si="190"/>
        <v>#REF!</v>
      </c>
      <c r="L814" s="27" t="s">
        <v>3515</v>
      </c>
      <c r="M814" s="27" t="str">
        <f t="shared" si="191"/>
        <v>#REF!</v>
      </c>
      <c r="P814" s="78"/>
      <c r="Q814" s="6" t="str">
        <f t="shared" si="192"/>
        <v>#REF!</v>
      </c>
    </row>
    <row r="815" ht="12.0" customHeight="1">
      <c r="A815" s="22"/>
      <c r="B815" s="27" t="str">
        <f t="shared" si="188"/>
        <v>#REF!</v>
      </c>
      <c r="C815" s="27"/>
      <c r="D815" s="27"/>
      <c r="E815" s="27"/>
      <c r="F815" s="27"/>
      <c r="G815" s="27" t="s">
        <v>3512</v>
      </c>
      <c r="H815" s="27" t="str">
        <f t="shared" si="189"/>
        <v>#REF!</v>
      </c>
      <c r="I815" s="27" t="s">
        <v>3515</v>
      </c>
      <c r="J815" s="27" t="s">
        <v>3516</v>
      </c>
      <c r="K815" s="79" t="str">
        <f t="shared" si="190"/>
        <v>#REF!</v>
      </c>
      <c r="L815" s="27" t="s">
        <v>3515</v>
      </c>
      <c r="M815" s="27" t="str">
        <f t="shared" si="191"/>
        <v>#REF!</v>
      </c>
      <c r="P815" s="78"/>
      <c r="Q815" s="6" t="str">
        <f t="shared" si="192"/>
        <v>#REF!</v>
      </c>
    </row>
    <row r="816" ht="12.0" customHeight="1">
      <c r="A816" s="22"/>
      <c r="B816" s="27" t="str">
        <f t="shared" si="188"/>
        <v>#REF!</v>
      </c>
      <c r="C816" s="27"/>
      <c r="D816" s="27"/>
      <c r="E816" s="27"/>
      <c r="F816" s="27"/>
      <c r="G816" s="27" t="s">
        <v>3512</v>
      </c>
      <c r="H816" s="27" t="str">
        <f t="shared" si="189"/>
        <v>#REF!</v>
      </c>
      <c r="I816" s="27" t="s">
        <v>3515</v>
      </c>
      <c r="J816" s="27" t="s">
        <v>3516</v>
      </c>
      <c r="K816" s="79" t="str">
        <f t="shared" si="190"/>
        <v>#REF!</v>
      </c>
      <c r="L816" s="27" t="s">
        <v>3515</v>
      </c>
      <c r="M816" s="27" t="str">
        <f t="shared" si="191"/>
        <v>#REF!</v>
      </c>
      <c r="P816" s="78"/>
      <c r="Q816" s="6" t="str">
        <f t="shared" si="192"/>
        <v>#REF!</v>
      </c>
    </row>
    <row r="817" ht="12.0" customHeight="1">
      <c r="A817" s="22"/>
      <c r="B817" s="27" t="str">
        <f t="shared" si="188"/>
        <v>#REF!</v>
      </c>
      <c r="C817" s="27"/>
      <c r="D817" s="27"/>
      <c r="E817" s="27"/>
      <c r="F817" s="27"/>
      <c r="G817" s="27" t="s">
        <v>3512</v>
      </c>
      <c r="H817" s="27" t="str">
        <f t="shared" si="189"/>
        <v>#REF!</v>
      </c>
      <c r="I817" s="27" t="s">
        <v>3515</v>
      </c>
      <c r="J817" s="27" t="s">
        <v>3516</v>
      </c>
      <c r="K817" s="79" t="str">
        <f t="shared" si="190"/>
        <v>#REF!</v>
      </c>
      <c r="L817" s="27" t="s">
        <v>3515</v>
      </c>
      <c r="M817" s="27" t="str">
        <f t="shared" si="191"/>
        <v>#REF!</v>
      </c>
      <c r="P817" s="78"/>
      <c r="Q817" s="6" t="str">
        <f t="shared" si="192"/>
        <v>#REF!</v>
      </c>
    </row>
    <row r="818" ht="12.0" customHeight="1">
      <c r="A818" s="22"/>
      <c r="B818" s="27" t="str">
        <f t="shared" si="188"/>
        <v>#REF!</v>
      </c>
      <c r="C818" s="27"/>
      <c r="D818" s="27"/>
      <c r="E818" s="27"/>
      <c r="F818" s="27"/>
      <c r="G818" s="27" t="s">
        <v>3512</v>
      </c>
      <c r="H818" s="27" t="str">
        <f t="shared" si="189"/>
        <v>#REF!</v>
      </c>
      <c r="I818" s="27" t="s">
        <v>3515</v>
      </c>
      <c r="J818" s="27" t="s">
        <v>3516</v>
      </c>
      <c r="K818" s="79" t="str">
        <f t="shared" si="190"/>
        <v>#REF!</v>
      </c>
      <c r="L818" s="27" t="s">
        <v>3515</v>
      </c>
      <c r="M818" s="27" t="str">
        <f t="shared" si="191"/>
        <v>#REF!</v>
      </c>
      <c r="P818" s="78"/>
      <c r="Q818" s="6" t="str">
        <f t="shared" si="192"/>
        <v>#REF!</v>
      </c>
    </row>
    <row r="819" ht="12.0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79"/>
      <c r="L819" s="27"/>
      <c r="M819" s="27"/>
      <c r="N819" s="27"/>
      <c r="O819" s="27"/>
      <c r="P819" s="90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2.0" customHeight="1">
      <c r="A820" s="27"/>
      <c r="B820" s="22" t="s">
        <v>174</v>
      </c>
      <c r="C820" s="27"/>
      <c r="D820" s="27"/>
      <c r="E820" s="27"/>
      <c r="F820" s="27"/>
      <c r="G820" s="27"/>
      <c r="H820" s="27"/>
      <c r="I820" s="27"/>
      <c r="J820" s="27"/>
      <c r="K820" s="79"/>
      <c r="L820" s="27"/>
      <c r="M820" s="27"/>
      <c r="N820" s="27"/>
      <c r="O820" s="27"/>
      <c r="P820" s="90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2.0" customHeight="1">
      <c r="A821" s="27"/>
      <c r="B821" s="22" t="s">
        <v>3966</v>
      </c>
      <c r="C821" s="27"/>
      <c r="D821" s="27"/>
      <c r="E821" s="27"/>
      <c r="F821" s="27"/>
      <c r="G821" s="27"/>
      <c r="H821" s="27"/>
      <c r="I821" s="27"/>
      <c r="J821" s="27"/>
      <c r="K821" s="79"/>
      <c r="L821" s="27"/>
      <c r="M821" s="27"/>
      <c r="N821" s="27"/>
      <c r="O821" s="27"/>
      <c r="P821" s="90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2.0" customHeight="1">
      <c r="A822" s="22"/>
      <c r="B822" s="22" t="s">
        <v>174</v>
      </c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P822" s="78"/>
    </row>
    <row r="823" ht="12.0" customHeight="1">
      <c r="A823" s="22"/>
      <c r="B823" s="27" t="str">
        <f t="shared" ref="B823:B825" si="193">'Exile INPUT'!C753</f>
        <v>#REF!</v>
      </c>
      <c r="C823" s="27"/>
      <c r="D823" s="27"/>
      <c r="E823" s="27"/>
      <c r="F823" s="27"/>
      <c r="G823" s="27" t="s">
        <v>3512</v>
      </c>
      <c r="H823" s="27" t="str">
        <f t="shared" ref="H823:H825" si="194">'Exile INPUT'!F753</f>
        <v>#REF!</v>
      </c>
      <c r="I823" s="27" t="s">
        <v>3515</v>
      </c>
      <c r="J823" s="27" t="s">
        <v>3516</v>
      </c>
      <c r="K823" s="79" t="str">
        <f t="shared" ref="K823:K825" si="195">'Exile INPUT'!J753</f>
        <v>#REF!</v>
      </c>
      <c r="L823" s="27" t="s">
        <v>3515</v>
      </c>
      <c r="M823" s="27" t="str">
        <f t="shared" ref="M823:M825" si="196">IF(Q823 = 0, "};",CONCATENATE("sellPrice = ",Q823,"; };"))</f>
        <v>#REF!</v>
      </c>
      <c r="P823" s="78"/>
      <c r="Q823" s="6" t="str">
        <f t="shared" ref="Q823:Q825" si="197">K823*$X$12</f>
        <v>#REF!</v>
      </c>
    </row>
    <row r="824" ht="12.0" customHeight="1">
      <c r="A824" s="22"/>
      <c r="B824" s="27" t="str">
        <f t="shared" si="193"/>
        <v>#REF!</v>
      </c>
      <c r="C824" s="27"/>
      <c r="D824" s="27"/>
      <c r="E824" s="27"/>
      <c r="F824" s="27"/>
      <c r="G824" s="27" t="s">
        <v>3512</v>
      </c>
      <c r="H824" s="27" t="str">
        <f t="shared" si="194"/>
        <v>#REF!</v>
      </c>
      <c r="I824" s="27" t="s">
        <v>3515</v>
      </c>
      <c r="J824" s="27" t="s">
        <v>3516</v>
      </c>
      <c r="K824" s="79" t="str">
        <f t="shared" si="195"/>
        <v>#REF!</v>
      </c>
      <c r="L824" s="27" t="s">
        <v>3515</v>
      </c>
      <c r="M824" s="27" t="str">
        <f t="shared" si="196"/>
        <v>#REF!</v>
      </c>
      <c r="P824" s="78"/>
      <c r="Q824" s="6" t="str">
        <f t="shared" si="197"/>
        <v>#REF!</v>
      </c>
    </row>
    <row r="825" ht="12.0" customHeight="1">
      <c r="A825" s="22"/>
      <c r="B825" s="27" t="str">
        <f t="shared" si="193"/>
        <v>#REF!</v>
      </c>
      <c r="C825" s="27"/>
      <c r="D825" s="27"/>
      <c r="E825" s="27"/>
      <c r="F825" s="27"/>
      <c r="G825" s="27" t="s">
        <v>3512</v>
      </c>
      <c r="H825" s="27" t="str">
        <f t="shared" si="194"/>
        <v>#REF!</v>
      </c>
      <c r="I825" s="27" t="s">
        <v>3515</v>
      </c>
      <c r="J825" s="27" t="s">
        <v>3516</v>
      </c>
      <c r="K825" s="79" t="str">
        <f t="shared" si="195"/>
        <v>#REF!</v>
      </c>
      <c r="L825" s="27" t="s">
        <v>3515</v>
      </c>
      <c r="M825" s="27" t="str">
        <f t="shared" si="196"/>
        <v>#REF!</v>
      </c>
      <c r="P825" s="78"/>
      <c r="Q825" s="6" t="str">
        <f t="shared" si="197"/>
        <v>#REF!</v>
      </c>
    </row>
    <row r="826" ht="12.0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79"/>
      <c r="L826" s="27"/>
      <c r="M826" s="27"/>
      <c r="N826" s="27"/>
      <c r="O826" s="27"/>
      <c r="P826" s="90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2.0" customHeight="1">
      <c r="A827" s="27"/>
      <c r="B827" s="22" t="s">
        <v>174</v>
      </c>
      <c r="C827" s="27"/>
      <c r="D827" s="27"/>
      <c r="E827" s="27"/>
      <c r="F827" s="27"/>
      <c r="G827" s="27"/>
      <c r="H827" s="27"/>
      <c r="I827" s="27"/>
      <c r="J827" s="27"/>
      <c r="K827" s="79"/>
      <c r="L827" s="27"/>
      <c r="M827" s="27"/>
      <c r="N827" s="27"/>
      <c r="O827" s="27"/>
      <c r="P827" s="90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2.0" customHeight="1">
      <c r="A828" s="27"/>
      <c r="B828" s="22" t="s">
        <v>3967</v>
      </c>
      <c r="C828" s="27"/>
      <c r="D828" s="27"/>
      <c r="E828" s="27"/>
      <c r="F828" s="27"/>
      <c r="G828" s="27"/>
      <c r="H828" s="27"/>
      <c r="I828" s="27"/>
      <c r="J828" s="27"/>
      <c r="K828" s="79"/>
      <c r="L828" s="27"/>
      <c r="M828" s="27"/>
      <c r="N828" s="27"/>
      <c r="O828" s="27"/>
      <c r="P828" s="90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2.0" customHeight="1">
      <c r="A829" s="22"/>
      <c r="B829" s="22" t="s">
        <v>174</v>
      </c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P829" s="78"/>
    </row>
    <row r="830" ht="12.0" customHeight="1">
      <c r="A830" s="22"/>
      <c r="B830" s="27" t="str">
        <f t="shared" ref="B830:B832" si="198">'Exile INPUT'!C757</f>
        <v>#REF!</v>
      </c>
      <c r="C830" s="27"/>
      <c r="D830" s="27"/>
      <c r="E830" s="27"/>
      <c r="F830" s="27"/>
      <c r="G830" s="27" t="s">
        <v>3512</v>
      </c>
      <c r="H830" s="27" t="str">
        <f t="shared" ref="H830:H832" si="199">'Exile INPUT'!F757</f>
        <v>#REF!</v>
      </c>
      <c r="I830" s="27" t="s">
        <v>3515</v>
      </c>
      <c r="J830" s="27" t="s">
        <v>3516</v>
      </c>
      <c r="K830" s="79" t="str">
        <f t="shared" ref="K830:K832" si="200">'Exile INPUT'!J757</f>
        <v>#REF!</v>
      </c>
      <c r="L830" s="27" t="s">
        <v>3515</v>
      </c>
      <c r="M830" s="27" t="str">
        <f t="shared" ref="M830:M832" si="201">IF(Q830 = 0, "};",CONCATENATE("sellPrice = ",Q830,"; };"))</f>
        <v>#REF!</v>
      </c>
      <c r="P830" s="78"/>
      <c r="Q830" s="6" t="str">
        <f t="shared" ref="Q830:Q832" si="202">K830*$X$12</f>
        <v>#REF!</v>
      </c>
    </row>
    <row r="831" ht="12.0" customHeight="1">
      <c r="A831" s="22"/>
      <c r="B831" s="27" t="str">
        <f t="shared" si="198"/>
        <v>#REF!</v>
      </c>
      <c r="C831" s="27"/>
      <c r="D831" s="27"/>
      <c r="E831" s="27"/>
      <c r="F831" s="27"/>
      <c r="G831" s="27" t="s">
        <v>3512</v>
      </c>
      <c r="H831" s="27" t="str">
        <f t="shared" si="199"/>
        <v>#REF!</v>
      </c>
      <c r="I831" s="27" t="s">
        <v>3515</v>
      </c>
      <c r="J831" s="27" t="s">
        <v>3516</v>
      </c>
      <c r="K831" s="79" t="str">
        <f t="shared" si="200"/>
        <v>#REF!</v>
      </c>
      <c r="L831" s="27" t="s">
        <v>3515</v>
      </c>
      <c r="M831" s="27" t="str">
        <f t="shared" si="201"/>
        <v>#REF!</v>
      </c>
      <c r="P831" s="78"/>
      <c r="Q831" s="6" t="str">
        <f t="shared" si="202"/>
        <v>#REF!</v>
      </c>
    </row>
    <row r="832" ht="12.0" customHeight="1">
      <c r="A832" s="22"/>
      <c r="B832" s="27" t="str">
        <f t="shared" si="198"/>
        <v>#REF!</v>
      </c>
      <c r="C832" s="27"/>
      <c r="D832" s="27"/>
      <c r="E832" s="27"/>
      <c r="F832" s="27"/>
      <c r="G832" s="27" t="s">
        <v>3512</v>
      </c>
      <c r="H832" s="27" t="str">
        <f t="shared" si="199"/>
        <v>#REF!</v>
      </c>
      <c r="I832" s="27" t="s">
        <v>3515</v>
      </c>
      <c r="J832" s="27" t="s">
        <v>3516</v>
      </c>
      <c r="K832" s="79" t="str">
        <f t="shared" si="200"/>
        <v>#REF!</v>
      </c>
      <c r="L832" s="27" t="s">
        <v>3515</v>
      </c>
      <c r="M832" s="27" t="str">
        <f t="shared" si="201"/>
        <v>#REF!</v>
      </c>
      <c r="P832" s="78"/>
      <c r="Q832" s="6" t="str">
        <f t="shared" si="202"/>
        <v>#REF!</v>
      </c>
    </row>
    <row r="833" ht="12.0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79"/>
      <c r="L833" s="27"/>
      <c r="M833" s="27"/>
      <c r="N833" s="27"/>
      <c r="O833" s="27"/>
      <c r="P833" s="90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2.0" customHeight="1">
      <c r="A834" s="27"/>
      <c r="B834" s="22" t="s">
        <v>174</v>
      </c>
      <c r="C834" s="27"/>
      <c r="D834" s="27"/>
      <c r="E834" s="27"/>
      <c r="F834" s="27"/>
      <c r="G834" s="27"/>
      <c r="H834" s="27"/>
      <c r="I834" s="27"/>
      <c r="J834" s="27"/>
      <c r="K834" s="79"/>
      <c r="L834" s="27"/>
      <c r="M834" s="27"/>
      <c r="N834" s="27"/>
      <c r="O834" s="27"/>
      <c r="P834" s="90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2.0" customHeight="1">
      <c r="A835" s="27"/>
      <c r="B835" s="22" t="s">
        <v>3968</v>
      </c>
      <c r="C835" s="27"/>
      <c r="D835" s="27"/>
      <c r="E835" s="27"/>
      <c r="F835" s="27"/>
      <c r="G835" s="27"/>
      <c r="H835" s="27"/>
      <c r="I835" s="27"/>
      <c r="J835" s="27"/>
      <c r="K835" s="79"/>
      <c r="L835" s="27"/>
      <c r="M835" s="27"/>
      <c r="N835" s="27"/>
      <c r="O835" s="27"/>
      <c r="P835" s="90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2.0" customHeight="1">
      <c r="A836" s="22"/>
      <c r="B836" s="22" t="s">
        <v>174</v>
      </c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P836" s="78"/>
    </row>
    <row r="837" ht="12.0" customHeight="1">
      <c r="A837" s="22"/>
      <c r="B837" s="27" t="str">
        <f t="shared" ref="B837:B839" si="203">'Exile INPUT'!C761</f>
        <v>#REF!</v>
      </c>
      <c r="C837" s="27"/>
      <c r="D837" s="27"/>
      <c r="E837" s="27"/>
      <c r="F837" s="27"/>
      <c r="G837" s="27" t="s">
        <v>3512</v>
      </c>
      <c r="H837" s="27" t="str">
        <f t="shared" ref="H837:H839" si="204">'Exile INPUT'!F761</f>
        <v>#REF!</v>
      </c>
      <c r="I837" s="27" t="s">
        <v>3515</v>
      </c>
      <c r="J837" s="27" t="s">
        <v>3516</v>
      </c>
      <c r="K837" s="79" t="str">
        <f t="shared" ref="K837:K839" si="205">'Exile INPUT'!J761</f>
        <v>#REF!</v>
      </c>
      <c r="L837" s="27" t="s">
        <v>3515</v>
      </c>
      <c r="M837" s="27" t="str">
        <f t="shared" ref="M837:M839" si="206">IF(Q837 = 0, "};",CONCATENATE("sellPrice = ",Q837,"; };"))</f>
        <v>#REF!</v>
      </c>
      <c r="P837" s="78"/>
      <c r="Q837" s="6" t="str">
        <f t="shared" ref="Q837:Q839" si="207">K837*$X$12</f>
        <v>#REF!</v>
      </c>
    </row>
    <row r="838" ht="12.0" customHeight="1">
      <c r="A838" s="22"/>
      <c r="B838" s="27" t="str">
        <f t="shared" si="203"/>
        <v>#REF!</v>
      </c>
      <c r="C838" s="27"/>
      <c r="D838" s="27"/>
      <c r="E838" s="27"/>
      <c r="F838" s="27"/>
      <c r="G838" s="27" t="s">
        <v>3512</v>
      </c>
      <c r="H838" s="27" t="str">
        <f t="shared" si="204"/>
        <v>#REF!</v>
      </c>
      <c r="I838" s="27" t="s">
        <v>3515</v>
      </c>
      <c r="J838" s="27" t="s">
        <v>3516</v>
      </c>
      <c r="K838" s="79" t="str">
        <f t="shared" si="205"/>
        <v>#REF!</v>
      </c>
      <c r="L838" s="27" t="s">
        <v>3515</v>
      </c>
      <c r="M838" s="27" t="str">
        <f t="shared" si="206"/>
        <v>#REF!</v>
      </c>
      <c r="P838" s="78"/>
      <c r="Q838" s="6" t="str">
        <f t="shared" si="207"/>
        <v>#REF!</v>
      </c>
    </row>
    <row r="839" ht="12.0" customHeight="1">
      <c r="A839" s="22"/>
      <c r="B839" s="27" t="str">
        <f t="shared" si="203"/>
        <v>#REF!</v>
      </c>
      <c r="C839" s="27"/>
      <c r="D839" s="27"/>
      <c r="E839" s="27"/>
      <c r="F839" s="27"/>
      <c r="G839" s="27" t="s">
        <v>3512</v>
      </c>
      <c r="H839" s="27" t="str">
        <f t="shared" si="204"/>
        <v>#REF!</v>
      </c>
      <c r="I839" s="27" t="s">
        <v>3515</v>
      </c>
      <c r="J839" s="27" t="s">
        <v>3516</v>
      </c>
      <c r="K839" s="79" t="str">
        <f t="shared" si="205"/>
        <v>#REF!</v>
      </c>
      <c r="L839" s="27" t="s">
        <v>3515</v>
      </c>
      <c r="M839" s="27" t="str">
        <f t="shared" si="206"/>
        <v>#REF!</v>
      </c>
      <c r="P839" s="78"/>
      <c r="Q839" s="6" t="str">
        <f t="shared" si="207"/>
        <v>#REF!</v>
      </c>
    </row>
    <row r="840" ht="12.0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P840" s="78"/>
    </row>
    <row r="841" ht="12.0" customHeight="1">
      <c r="A841" s="27"/>
      <c r="B841" s="22" t="s">
        <v>174</v>
      </c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90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2.0" customHeight="1">
      <c r="A842" s="22"/>
      <c r="B842" s="22" t="s">
        <v>3969</v>
      </c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P842" s="78"/>
    </row>
    <row r="843" ht="12.0" customHeight="1">
      <c r="A843" s="22"/>
      <c r="B843" s="22" t="s">
        <v>174</v>
      </c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P843" s="78"/>
    </row>
    <row r="844" ht="12.0" customHeight="1">
      <c r="A844" s="22"/>
      <c r="B844" s="27" t="str">
        <f t="shared" ref="B844:B855" si="208">'Exile INPUT'!C767</f>
        <v>#REF!</v>
      </c>
      <c r="C844" s="27"/>
      <c r="D844" s="27"/>
      <c r="E844" s="27"/>
      <c r="F844" s="27"/>
      <c r="G844" s="27" t="s">
        <v>3512</v>
      </c>
      <c r="H844" s="27" t="str">
        <f t="shared" ref="H844:H855" si="209">'Exile INPUT'!F767</f>
        <v>#REF!</v>
      </c>
      <c r="I844" s="27" t="s">
        <v>3515</v>
      </c>
      <c r="J844" s="27" t="s">
        <v>3516</v>
      </c>
      <c r="K844" s="79" t="str">
        <f t="shared" ref="K844:K855" si="210">'Exile INPUT'!J767</f>
        <v>#REF!</v>
      </c>
      <c r="L844" s="27" t="s">
        <v>3515</v>
      </c>
      <c r="M844" s="27" t="str">
        <f t="shared" ref="M844:M855" si="211">IF(Q844 = 0, "};",CONCATENATE("sellPrice = ",Q844,"; };"))</f>
        <v>#REF!</v>
      </c>
      <c r="P844" s="78"/>
      <c r="Q844" s="6" t="str">
        <f t="shared" ref="Q844:Q855" si="212">K844*$X$12</f>
        <v>#REF!</v>
      </c>
    </row>
    <row r="845" ht="12.0" customHeight="1">
      <c r="A845" s="22"/>
      <c r="B845" s="27" t="str">
        <f t="shared" si="208"/>
        <v>#REF!</v>
      </c>
      <c r="C845" s="27"/>
      <c r="D845" s="27"/>
      <c r="E845" s="27"/>
      <c r="F845" s="27"/>
      <c r="G845" s="27" t="s">
        <v>3512</v>
      </c>
      <c r="H845" s="27" t="str">
        <f t="shared" si="209"/>
        <v>#REF!</v>
      </c>
      <c r="I845" s="27" t="s">
        <v>3515</v>
      </c>
      <c r="J845" s="27" t="s">
        <v>3516</v>
      </c>
      <c r="K845" s="79" t="str">
        <f t="shared" si="210"/>
        <v>#REF!</v>
      </c>
      <c r="L845" s="27" t="s">
        <v>3515</v>
      </c>
      <c r="M845" s="27" t="str">
        <f t="shared" si="211"/>
        <v>#REF!</v>
      </c>
      <c r="P845" s="78"/>
      <c r="Q845" s="6" t="str">
        <f t="shared" si="212"/>
        <v>#REF!</v>
      </c>
    </row>
    <row r="846" ht="12.0" customHeight="1">
      <c r="A846" s="22"/>
      <c r="B846" s="27" t="str">
        <f t="shared" si="208"/>
        <v>#REF!</v>
      </c>
      <c r="C846" s="27"/>
      <c r="D846" s="27"/>
      <c r="E846" s="27"/>
      <c r="F846" s="27"/>
      <c r="G846" s="27" t="s">
        <v>3512</v>
      </c>
      <c r="H846" s="27" t="str">
        <f t="shared" si="209"/>
        <v>#REF!</v>
      </c>
      <c r="I846" s="27" t="s">
        <v>3515</v>
      </c>
      <c r="J846" s="27" t="s">
        <v>3516</v>
      </c>
      <c r="K846" s="79" t="str">
        <f t="shared" si="210"/>
        <v>#REF!</v>
      </c>
      <c r="L846" s="27" t="s">
        <v>3515</v>
      </c>
      <c r="M846" s="27" t="str">
        <f t="shared" si="211"/>
        <v>#REF!</v>
      </c>
      <c r="P846" s="78"/>
      <c r="Q846" s="6" t="str">
        <f t="shared" si="212"/>
        <v>#REF!</v>
      </c>
    </row>
    <row r="847" ht="12.0" customHeight="1">
      <c r="A847" s="22"/>
      <c r="B847" s="27" t="str">
        <f t="shared" si="208"/>
        <v>#REF!</v>
      </c>
      <c r="C847" s="27"/>
      <c r="D847" s="27"/>
      <c r="E847" s="27"/>
      <c r="F847" s="27"/>
      <c r="G847" s="27" t="s">
        <v>3512</v>
      </c>
      <c r="H847" s="27" t="str">
        <f t="shared" si="209"/>
        <v>#REF!</v>
      </c>
      <c r="I847" s="27" t="s">
        <v>3515</v>
      </c>
      <c r="J847" s="27" t="s">
        <v>3516</v>
      </c>
      <c r="K847" s="79" t="str">
        <f t="shared" si="210"/>
        <v>#REF!</v>
      </c>
      <c r="L847" s="27" t="s">
        <v>3515</v>
      </c>
      <c r="M847" s="27" t="str">
        <f t="shared" si="211"/>
        <v>#REF!</v>
      </c>
      <c r="P847" s="78"/>
      <c r="Q847" s="6" t="str">
        <f t="shared" si="212"/>
        <v>#REF!</v>
      </c>
    </row>
    <row r="848" ht="12.0" customHeight="1">
      <c r="A848" s="22"/>
      <c r="B848" s="27" t="str">
        <f t="shared" si="208"/>
        <v>#REF!</v>
      </c>
      <c r="C848" s="27"/>
      <c r="D848" s="27"/>
      <c r="E848" s="27"/>
      <c r="F848" s="27"/>
      <c r="G848" s="27" t="s">
        <v>3512</v>
      </c>
      <c r="H848" s="27" t="str">
        <f t="shared" si="209"/>
        <v>#REF!</v>
      </c>
      <c r="I848" s="27" t="s">
        <v>3515</v>
      </c>
      <c r="J848" s="27" t="s">
        <v>3516</v>
      </c>
      <c r="K848" s="79" t="str">
        <f t="shared" si="210"/>
        <v>#REF!</v>
      </c>
      <c r="L848" s="27" t="s">
        <v>3515</v>
      </c>
      <c r="M848" s="27" t="str">
        <f t="shared" si="211"/>
        <v>#REF!</v>
      </c>
      <c r="P848" s="78"/>
      <c r="Q848" s="6" t="str">
        <f t="shared" si="212"/>
        <v>#REF!</v>
      </c>
    </row>
    <row r="849" ht="12.0" customHeight="1">
      <c r="A849" s="22"/>
      <c r="B849" s="27" t="str">
        <f t="shared" si="208"/>
        <v>#REF!</v>
      </c>
      <c r="C849" s="27"/>
      <c r="D849" s="27"/>
      <c r="E849" s="27"/>
      <c r="F849" s="27"/>
      <c r="G849" s="27" t="s">
        <v>3512</v>
      </c>
      <c r="H849" s="27" t="str">
        <f t="shared" si="209"/>
        <v>#REF!</v>
      </c>
      <c r="I849" s="27" t="s">
        <v>3515</v>
      </c>
      <c r="J849" s="27" t="s">
        <v>3516</v>
      </c>
      <c r="K849" s="79" t="str">
        <f t="shared" si="210"/>
        <v>#REF!</v>
      </c>
      <c r="L849" s="27" t="s">
        <v>3515</v>
      </c>
      <c r="M849" s="27" t="str">
        <f t="shared" si="211"/>
        <v>#REF!</v>
      </c>
      <c r="P849" s="78"/>
      <c r="Q849" s="6" t="str">
        <f t="shared" si="212"/>
        <v>#REF!</v>
      </c>
    </row>
    <row r="850" ht="12.0" customHeight="1">
      <c r="A850" s="22"/>
      <c r="B850" s="27" t="str">
        <f t="shared" si="208"/>
        <v>#REF!</v>
      </c>
      <c r="C850" s="27"/>
      <c r="D850" s="27"/>
      <c r="E850" s="27"/>
      <c r="F850" s="27"/>
      <c r="G850" s="27" t="s">
        <v>3512</v>
      </c>
      <c r="H850" s="27" t="str">
        <f t="shared" si="209"/>
        <v>#REF!</v>
      </c>
      <c r="I850" s="27" t="s">
        <v>3515</v>
      </c>
      <c r="J850" s="27" t="s">
        <v>3516</v>
      </c>
      <c r="K850" s="79" t="str">
        <f t="shared" si="210"/>
        <v>#REF!</v>
      </c>
      <c r="L850" s="27" t="s">
        <v>3515</v>
      </c>
      <c r="M850" s="27" t="str">
        <f t="shared" si="211"/>
        <v>#REF!</v>
      </c>
      <c r="P850" s="78"/>
      <c r="Q850" s="6" t="str">
        <f t="shared" si="212"/>
        <v>#REF!</v>
      </c>
    </row>
    <row r="851" ht="12.0" customHeight="1">
      <c r="A851" s="22"/>
      <c r="B851" s="27" t="str">
        <f t="shared" si="208"/>
        <v>#REF!</v>
      </c>
      <c r="C851" s="27"/>
      <c r="D851" s="27"/>
      <c r="E851" s="27"/>
      <c r="F851" s="27"/>
      <c r="G851" s="27" t="s">
        <v>3512</v>
      </c>
      <c r="H851" s="27" t="str">
        <f t="shared" si="209"/>
        <v>#REF!</v>
      </c>
      <c r="I851" s="27" t="s">
        <v>3515</v>
      </c>
      <c r="J851" s="27" t="s">
        <v>3516</v>
      </c>
      <c r="K851" s="79" t="str">
        <f t="shared" si="210"/>
        <v>#REF!</v>
      </c>
      <c r="L851" s="27" t="s">
        <v>3515</v>
      </c>
      <c r="M851" s="27" t="str">
        <f t="shared" si="211"/>
        <v>#REF!</v>
      </c>
      <c r="P851" s="78"/>
      <c r="Q851" s="6" t="str">
        <f t="shared" si="212"/>
        <v>#REF!</v>
      </c>
    </row>
    <row r="852" ht="12.0" customHeight="1">
      <c r="A852" s="22"/>
      <c r="B852" s="27" t="str">
        <f t="shared" si="208"/>
        <v>#REF!</v>
      </c>
      <c r="C852" s="27"/>
      <c r="D852" s="27"/>
      <c r="E852" s="27"/>
      <c r="F852" s="27"/>
      <c r="G852" s="27" t="s">
        <v>3512</v>
      </c>
      <c r="H852" s="27" t="str">
        <f t="shared" si="209"/>
        <v>#REF!</v>
      </c>
      <c r="I852" s="27" t="s">
        <v>3515</v>
      </c>
      <c r="J852" s="27" t="s">
        <v>3516</v>
      </c>
      <c r="K852" s="79" t="str">
        <f t="shared" si="210"/>
        <v>#REF!</v>
      </c>
      <c r="L852" s="27" t="s">
        <v>3515</v>
      </c>
      <c r="M852" s="27" t="str">
        <f t="shared" si="211"/>
        <v>#REF!</v>
      </c>
      <c r="P852" s="78"/>
      <c r="Q852" s="6" t="str">
        <f t="shared" si="212"/>
        <v>#REF!</v>
      </c>
    </row>
    <row r="853" ht="12.0" customHeight="1">
      <c r="A853" s="22"/>
      <c r="B853" s="27" t="str">
        <f t="shared" si="208"/>
        <v>#REF!</v>
      </c>
      <c r="C853" s="27"/>
      <c r="D853" s="27"/>
      <c r="E853" s="27"/>
      <c r="F853" s="27"/>
      <c r="G853" s="27" t="s">
        <v>3512</v>
      </c>
      <c r="H853" s="27" t="str">
        <f t="shared" si="209"/>
        <v>#REF!</v>
      </c>
      <c r="I853" s="27" t="s">
        <v>3515</v>
      </c>
      <c r="J853" s="27" t="s">
        <v>3516</v>
      </c>
      <c r="K853" s="79" t="str">
        <f t="shared" si="210"/>
        <v>#REF!</v>
      </c>
      <c r="L853" s="27" t="s">
        <v>3515</v>
      </c>
      <c r="M853" s="27" t="str">
        <f t="shared" si="211"/>
        <v>#REF!</v>
      </c>
      <c r="P853" s="78"/>
      <c r="Q853" s="6" t="str">
        <f t="shared" si="212"/>
        <v>#REF!</v>
      </c>
    </row>
    <row r="854" ht="12.0" customHeight="1">
      <c r="A854" s="22"/>
      <c r="B854" s="27" t="str">
        <f t="shared" si="208"/>
        <v>#REF!</v>
      </c>
      <c r="C854" s="27"/>
      <c r="D854" s="27"/>
      <c r="E854" s="27"/>
      <c r="F854" s="27"/>
      <c r="G854" s="27" t="s">
        <v>3512</v>
      </c>
      <c r="H854" s="27" t="str">
        <f t="shared" si="209"/>
        <v>#REF!</v>
      </c>
      <c r="I854" s="27" t="s">
        <v>3515</v>
      </c>
      <c r="J854" s="27" t="s">
        <v>3516</v>
      </c>
      <c r="K854" s="79" t="str">
        <f t="shared" si="210"/>
        <v>#REF!</v>
      </c>
      <c r="L854" s="27" t="s">
        <v>3515</v>
      </c>
      <c r="M854" s="27" t="str">
        <f t="shared" si="211"/>
        <v>#REF!</v>
      </c>
      <c r="P854" s="78"/>
      <c r="Q854" s="6" t="str">
        <f t="shared" si="212"/>
        <v>#REF!</v>
      </c>
    </row>
    <row r="855" ht="12.0" customHeight="1">
      <c r="A855" s="22"/>
      <c r="B855" s="27" t="str">
        <f t="shared" si="208"/>
        <v>#REF!</v>
      </c>
      <c r="C855" s="27"/>
      <c r="D855" s="27"/>
      <c r="E855" s="27"/>
      <c r="F855" s="27"/>
      <c r="G855" s="27" t="s">
        <v>3512</v>
      </c>
      <c r="H855" s="27" t="str">
        <f t="shared" si="209"/>
        <v>#REF!</v>
      </c>
      <c r="I855" s="27" t="s">
        <v>3515</v>
      </c>
      <c r="J855" s="27" t="s">
        <v>3516</v>
      </c>
      <c r="K855" s="79" t="str">
        <f t="shared" si="210"/>
        <v>#REF!</v>
      </c>
      <c r="L855" s="27" t="s">
        <v>3515</v>
      </c>
      <c r="M855" s="27" t="str">
        <f t="shared" si="211"/>
        <v>#REF!</v>
      </c>
      <c r="P855" s="78"/>
      <c r="Q855" s="6" t="str">
        <f t="shared" si="212"/>
        <v>#REF!</v>
      </c>
    </row>
    <row r="856" ht="12.0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79"/>
      <c r="L856" s="27"/>
      <c r="M856" s="27"/>
      <c r="N856" s="27"/>
      <c r="O856" s="27"/>
      <c r="P856" s="90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2.0" customHeight="1">
      <c r="A857" s="27"/>
      <c r="B857" s="22" t="s">
        <v>174</v>
      </c>
      <c r="C857" s="27"/>
      <c r="D857" s="27"/>
      <c r="E857" s="27"/>
      <c r="F857" s="27"/>
      <c r="G857" s="27"/>
      <c r="H857" s="27"/>
      <c r="I857" s="27"/>
      <c r="J857" s="27"/>
      <c r="K857" s="79"/>
      <c r="L857" s="27"/>
      <c r="M857" s="27"/>
      <c r="N857" s="27"/>
      <c r="O857" s="27"/>
      <c r="P857" s="90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2.0" customHeight="1">
      <c r="A858" s="27"/>
      <c r="B858" s="22" t="s">
        <v>3970</v>
      </c>
      <c r="C858" s="27"/>
      <c r="D858" s="27"/>
      <c r="E858" s="27"/>
      <c r="F858" s="27"/>
      <c r="G858" s="27"/>
      <c r="H858" s="27"/>
      <c r="I858" s="27"/>
      <c r="J858" s="27"/>
      <c r="K858" s="79"/>
      <c r="L858" s="27"/>
      <c r="M858" s="27"/>
      <c r="N858" s="27"/>
      <c r="O858" s="27"/>
      <c r="P858" s="90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2.0" customHeight="1">
      <c r="A859" s="22"/>
      <c r="B859" s="22" t="s">
        <v>174</v>
      </c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P859" s="78"/>
    </row>
    <row r="860" ht="12.0" customHeight="1">
      <c r="A860" s="22"/>
      <c r="B860" s="27" t="str">
        <f t="shared" ref="B860:B864" si="213">'Exile INPUT'!C780</f>
        <v>#REF!</v>
      </c>
      <c r="C860" s="27"/>
      <c r="D860" s="27"/>
      <c r="E860" s="27"/>
      <c r="F860" s="27"/>
      <c r="G860" s="27" t="s">
        <v>3512</v>
      </c>
      <c r="H860" s="27" t="str">
        <f t="shared" ref="H860:H864" si="214">'Exile INPUT'!F780</f>
        <v>#REF!</v>
      </c>
      <c r="I860" s="27" t="s">
        <v>3515</v>
      </c>
      <c r="J860" s="27" t="s">
        <v>3516</v>
      </c>
      <c r="K860" s="79" t="str">
        <f t="shared" ref="K860:K864" si="215">'Exile INPUT'!J780</f>
        <v>#REF!</v>
      </c>
      <c r="L860" s="27" t="s">
        <v>3515</v>
      </c>
      <c r="M860" s="27" t="str">
        <f t="shared" ref="M860:M864" si="216">IF(Q860 = 0, "};",CONCATENATE("sellPrice = ",Q860,"; };"))</f>
        <v>#REF!</v>
      </c>
      <c r="P860" s="78"/>
      <c r="Q860" s="6" t="str">
        <f t="shared" ref="Q860:Q864" si="217">K860*$X$12</f>
        <v>#REF!</v>
      </c>
    </row>
    <row r="861" ht="12.0" customHeight="1">
      <c r="A861" s="22"/>
      <c r="B861" s="27" t="str">
        <f t="shared" si="213"/>
        <v>#REF!</v>
      </c>
      <c r="C861" s="27"/>
      <c r="D861" s="27"/>
      <c r="E861" s="27"/>
      <c r="F861" s="27"/>
      <c r="G861" s="27" t="s">
        <v>3512</v>
      </c>
      <c r="H861" s="27" t="str">
        <f t="shared" si="214"/>
        <v>#REF!</v>
      </c>
      <c r="I861" s="27" t="s">
        <v>3515</v>
      </c>
      <c r="J861" s="27" t="s">
        <v>3516</v>
      </c>
      <c r="K861" s="79" t="str">
        <f t="shared" si="215"/>
        <v>#REF!</v>
      </c>
      <c r="L861" s="27" t="s">
        <v>3515</v>
      </c>
      <c r="M861" s="27" t="str">
        <f t="shared" si="216"/>
        <v>#REF!</v>
      </c>
      <c r="P861" s="78"/>
      <c r="Q861" s="6" t="str">
        <f t="shared" si="217"/>
        <v>#REF!</v>
      </c>
    </row>
    <row r="862" ht="12.0" customHeight="1">
      <c r="A862" s="22"/>
      <c r="B862" s="27" t="str">
        <f t="shared" si="213"/>
        <v>#REF!</v>
      </c>
      <c r="C862" s="27"/>
      <c r="D862" s="27"/>
      <c r="E862" s="27"/>
      <c r="F862" s="27"/>
      <c r="G862" s="27" t="s">
        <v>3512</v>
      </c>
      <c r="H862" s="27" t="str">
        <f t="shared" si="214"/>
        <v>#REF!</v>
      </c>
      <c r="I862" s="27" t="s">
        <v>3515</v>
      </c>
      <c r="J862" s="27" t="s">
        <v>3516</v>
      </c>
      <c r="K862" s="79" t="str">
        <f t="shared" si="215"/>
        <v>#REF!</v>
      </c>
      <c r="L862" s="27" t="s">
        <v>3515</v>
      </c>
      <c r="M862" s="27" t="str">
        <f t="shared" si="216"/>
        <v>#REF!</v>
      </c>
      <c r="P862" s="78"/>
      <c r="Q862" s="6" t="str">
        <f t="shared" si="217"/>
        <v>#REF!</v>
      </c>
    </row>
    <row r="863" ht="12.0" customHeight="1">
      <c r="A863" s="22"/>
      <c r="B863" s="27" t="str">
        <f t="shared" si="213"/>
        <v>#REF!</v>
      </c>
      <c r="C863" s="27"/>
      <c r="D863" s="27"/>
      <c r="E863" s="27"/>
      <c r="F863" s="27"/>
      <c r="G863" s="27" t="s">
        <v>3512</v>
      </c>
      <c r="H863" s="27" t="str">
        <f t="shared" si="214"/>
        <v>#REF!</v>
      </c>
      <c r="I863" s="27" t="s">
        <v>3515</v>
      </c>
      <c r="J863" s="27" t="s">
        <v>3516</v>
      </c>
      <c r="K863" s="79" t="str">
        <f t="shared" si="215"/>
        <v>#REF!</v>
      </c>
      <c r="L863" s="27" t="s">
        <v>3515</v>
      </c>
      <c r="M863" s="27" t="str">
        <f t="shared" si="216"/>
        <v>#REF!</v>
      </c>
      <c r="P863" s="78"/>
      <c r="Q863" s="6" t="str">
        <f t="shared" si="217"/>
        <v>#REF!</v>
      </c>
    </row>
    <row r="864" ht="12.0" customHeight="1">
      <c r="A864" s="22"/>
      <c r="B864" s="27" t="str">
        <f t="shared" si="213"/>
        <v>#REF!</v>
      </c>
      <c r="C864" s="27"/>
      <c r="D864" s="27"/>
      <c r="E864" s="27"/>
      <c r="F864" s="27"/>
      <c r="G864" s="27" t="s">
        <v>3512</v>
      </c>
      <c r="H864" s="27" t="str">
        <f t="shared" si="214"/>
        <v>#REF!</v>
      </c>
      <c r="I864" s="27" t="s">
        <v>3515</v>
      </c>
      <c r="J864" s="27" t="s">
        <v>3516</v>
      </c>
      <c r="K864" s="79" t="str">
        <f t="shared" si="215"/>
        <v>#REF!</v>
      </c>
      <c r="L864" s="27" t="s">
        <v>3515</v>
      </c>
      <c r="M864" s="27" t="str">
        <f t="shared" si="216"/>
        <v>#REF!</v>
      </c>
      <c r="P864" s="78"/>
      <c r="Q864" s="6" t="str">
        <f t="shared" si="217"/>
        <v>#REF!</v>
      </c>
    </row>
    <row r="865" ht="12.0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79"/>
      <c r="L865" s="27"/>
      <c r="M865" s="27"/>
      <c r="N865" s="27"/>
      <c r="O865" s="27"/>
      <c r="P865" s="90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2.0" customHeight="1">
      <c r="A866" s="27"/>
      <c r="B866" s="22" t="s">
        <v>174</v>
      </c>
      <c r="C866" s="27"/>
      <c r="D866" s="27"/>
      <c r="E866" s="27"/>
      <c r="F866" s="27"/>
      <c r="G866" s="27"/>
      <c r="H866" s="27"/>
      <c r="I866" s="27"/>
      <c r="J866" s="27"/>
      <c r="K866" s="79"/>
      <c r="L866" s="27"/>
      <c r="M866" s="27"/>
      <c r="N866" s="27"/>
      <c r="O866" s="27"/>
      <c r="P866" s="90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2.0" customHeight="1">
      <c r="A867" s="27"/>
      <c r="B867" s="22" t="s">
        <v>3971</v>
      </c>
      <c r="C867" s="27"/>
      <c r="D867" s="27"/>
      <c r="E867" s="27"/>
      <c r="F867" s="27"/>
      <c r="G867" s="27"/>
      <c r="H867" s="27"/>
      <c r="I867" s="27"/>
      <c r="J867" s="27"/>
      <c r="K867" s="79"/>
      <c r="L867" s="27"/>
      <c r="M867" s="27"/>
      <c r="N867" s="27"/>
      <c r="O867" s="27"/>
      <c r="P867" s="90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2.0" customHeight="1">
      <c r="A868" s="22"/>
      <c r="B868" s="22" t="s">
        <v>174</v>
      </c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P868" s="78"/>
    </row>
    <row r="869" ht="12.0" customHeight="1">
      <c r="A869" s="22"/>
      <c r="B869" s="27" t="str">
        <f t="shared" ref="B869:B871" si="218">'Exile INPUT'!C786</f>
        <v>#REF!</v>
      </c>
      <c r="C869" s="27"/>
      <c r="D869" s="27"/>
      <c r="E869" s="27"/>
      <c r="F869" s="27"/>
      <c r="G869" s="27" t="s">
        <v>3512</v>
      </c>
      <c r="H869" s="27" t="str">
        <f t="shared" ref="H869:H871" si="219">'Exile INPUT'!F786</f>
        <v>#REF!</v>
      </c>
      <c r="I869" s="27" t="s">
        <v>3515</v>
      </c>
      <c r="J869" s="27" t="s">
        <v>3516</v>
      </c>
      <c r="K869" s="79" t="str">
        <f t="shared" ref="K869:K871" si="220">'Exile INPUT'!J786</f>
        <v>#REF!</v>
      </c>
      <c r="L869" s="27" t="s">
        <v>3515</v>
      </c>
      <c r="M869" s="27" t="str">
        <f t="shared" ref="M869:M871" si="221">IF(Q869 = 0, "};",CONCATENATE("sellPrice = ",Q869,"; };"))</f>
        <v>#REF!</v>
      </c>
      <c r="P869" s="78"/>
      <c r="Q869" s="6" t="str">
        <f t="shared" ref="Q869:Q871" si="222">K869*$X$12</f>
        <v>#REF!</v>
      </c>
    </row>
    <row r="870" ht="12.0" customHeight="1">
      <c r="A870" s="22"/>
      <c r="B870" s="27" t="str">
        <f t="shared" si="218"/>
        <v>#REF!</v>
      </c>
      <c r="C870" s="27"/>
      <c r="D870" s="27"/>
      <c r="E870" s="27"/>
      <c r="F870" s="27"/>
      <c r="G870" s="27" t="s">
        <v>3512</v>
      </c>
      <c r="H870" s="27" t="str">
        <f t="shared" si="219"/>
        <v>#REF!</v>
      </c>
      <c r="I870" s="27" t="s">
        <v>3515</v>
      </c>
      <c r="J870" s="27" t="s">
        <v>3516</v>
      </c>
      <c r="K870" s="79" t="str">
        <f t="shared" si="220"/>
        <v>#REF!</v>
      </c>
      <c r="L870" s="27" t="s">
        <v>3515</v>
      </c>
      <c r="M870" s="27" t="str">
        <f t="shared" si="221"/>
        <v>#REF!</v>
      </c>
      <c r="P870" s="78"/>
      <c r="Q870" s="6" t="str">
        <f t="shared" si="222"/>
        <v>#REF!</v>
      </c>
    </row>
    <row r="871" ht="12.0" customHeight="1">
      <c r="A871" s="22"/>
      <c r="B871" s="27" t="str">
        <f t="shared" si="218"/>
        <v>#REF!</v>
      </c>
      <c r="C871" s="27"/>
      <c r="D871" s="27"/>
      <c r="E871" s="27"/>
      <c r="F871" s="27"/>
      <c r="G871" s="27" t="s">
        <v>3512</v>
      </c>
      <c r="H871" s="27" t="str">
        <f t="shared" si="219"/>
        <v>#REF!</v>
      </c>
      <c r="I871" s="27" t="s">
        <v>3515</v>
      </c>
      <c r="J871" s="27" t="s">
        <v>3516</v>
      </c>
      <c r="K871" s="79" t="str">
        <f t="shared" si="220"/>
        <v>#REF!</v>
      </c>
      <c r="L871" s="27" t="s">
        <v>3515</v>
      </c>
      <c r="M871" s="27" t="str">
        <f t="shared" si="221"/>
        <v>#REF!</v>
      </c>
      <c r="P871" s="78"/>
      <c r="Q871" s="6" t="str">
        <f t="shared" si="222"/>
        <v>#REF!</v>
      </c>
    </row>
    <row r="872" ht="12.0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79"/>
      <c r="L872" s="27"/>
      <c r="M872" s="27"/>
      <c r="N872" s="27"/>
      <c r="O872" s="27"/>
      <c r="P872" s="90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2.0" customHeight="1">
      <c r="A873" s="27"/>
      <c r="B873" s="22" t="s">
        <v>174</v>
      </c>
      <c r="C873" s="27"/>
      <c r="D873" s="27"/>
      <c r="E873" s="27"/>
      <c r="F873" s="27"/>
      <c r="G873" s="27"/>
      <c r="H873" s="27"/>
      <c r="I873" s="27"/>
      <c r="J873" s="27"/>
      <c r="K873" s="79"/>
      <c r="L873" s="27"/>
      <c r="M873" s="27"/>
      <c r="N873" s="27"/>
      <c r="O873" s="27"/>
      <c r="P873" s="90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2.0" customHeight="1">
      <c r="A874" s="22"/>
      <c r="B874" s="22" t="s">
        <v>3972</v>
      </c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P874" s="78"/>
    </row>
    <row r="875" ht="12.0" customHeight="1">
      <c r="A875" s="22"/>
      <c r="B875" s="22" t="s">
        <v>174</v>
      </c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P875" s="78"/>
    </row>
    <row r="876" ht="12.0" customHeight="1">
      <c r="A876" s="22"/>
      <c r="B876" s="27" t="str">
        <f t="shared" ref="B876:B893" si="223">'Exile INPUT'!C791</f>
        <v>#REF!</v>
      </c>
      <c r="C876" s="27"/>
      <c r="D876" s="27"/>
      <c r="E876" s="27"/>
      <c r="F876" s="27"/>
      <c r="G876" s="27" t="s">
        <v>3512</v>
      </c>
      <c r="H876" s="27" t="str">
        <f t="shared" ref="H876:H893" si="224">'Exile INPUT'!F791</f>
        <v>#REF!</v>
      </c>
      <c r="I876" s="27" t="s">
        <v>3515</v>
      </c>
      <c r="J876" s="27" t="s">
        <v>3516</v>
      </c>
      <c r="K876" s="79" t="str">
        <f t="shared" ref="K876:K893" si="225">'Exile INPUT'!J791</f>
        <v>#REF!</v>
      </c>
      <c r="L876" s="27" t="s">
        <v>3515</v>
      </c>
      <c r="M876" s="27" t="str">
        <f t="shared" ref="M876:M893" si="226">IF(Q876 = 0, "};",CONCATENATE("sellPrice = ",Q876,"; };"))</f>
        <v>#REF!</v>
      </c>
      <c r="P876" s="78"/>
      <c r="Q876" s="6" t="str">
        <f t="shared" ref="Q876:Q893" si="227">K876*$X$12</f>
        <v>#REF!</v>
      </c>
    </row>
    <row r="877" ht="12.0" customHeight="1">
      <c r="A877" s="22"/>
      <c r="B877" s="27" t="str">
        <f t="shared" si="223"/>
        <v>#REF!</v>
      </c>
      <c r="C877" s="27"/>
      <c r="D877" s="27"/>
      <c r="E877" s="27"/>
      <c r="F877" s="27"/>
      <c r="G877" s="27" t="s">
        <v>3512</v>
      </c>
      <c r="H877" s="27" t="str">
        <f t="shared" si="224"/>
        <v>#REF!</v>
      </c>
      <c r="I877" s="27" t="s">
        <v>3515</v>
      </c>
      <c r="J877" s="27" t="s">
        <v>3516</v>
      </c>
      <c r="K877" s="79" t="str">
        <f t="shared" si="225"/>
        <v>#REF!</v>
      </c>
      <c r="L877" s="27" t="s">
        <v>3515</v>
      </c>
      <c r="M877" s="27" t="str">
        <f t="shared" si="226"/>
        <v>#REF!</v>
      </c>
      <c r="P877" s="78"/>
      <c r="Q877" s="6" t="str">
        <f t="shared" si="227"/>
        <v>#REF!</v>
      </c>
    </row>
    <row r="878" ht="12.0" customHeight="1">
      <c r="A878" s="22"/>
      <c r="B878" s="27" t="str">
        <f t="shared" si="223"/>
        <v>#REF!</v>
      </c>
      <c r="C878" s="27"/>
      <c r="D878" s="27"/>
      <c r="E878" s="27"/>
      <c r="F878" s="27"/>
      <c r="G878" s="27" t="s">
        <v>3512</v>
      </c>
      <c r="H878" s="27" t="str">
        <f t="shared" si="224"/>
        <v>#REF!</v>
      </c>
      <c r="I878" s="27" t="s">
        <v>3515</v>
      </c>
      <c r="J878" s="27" t="s">
        <v>3516</v>
      </c>
      <c r="K878" s="79" t="str">
        <f t="shared" si="225"/>
        <v>#REF!</v>
      </c>
      <c r="L878" s="27" t="s">
        <v>3515</v>
      </c>
      <c r="M878" s="27" t="str">
        <f t="shared" si="226"/>
        <v>#REF!</v>
      </c>
      <c r="P878" s="78"/>
      <c r="Q878" s="6" t="str">
        <f t="shared" si="227"/>
        <v>#REF!</v>
      </c>
    </row>
    <row r="879" ht="12.0" customHeight="1">
      <c r="A879" s="22"/>
      <c r="B879" s="27" t="str">
        <f t="shared" si="223"/>
        <v>#REF!</v>
      </c>
      <c r="C879" s="27"/>
      <c r="D879" s="27"/>
      <c r="E879" s="27"/>
      <c r="F879" s="27"/>
      <c r="G879" s="27" t="s">
        <v>3512</v>
      </c>
      <c r="H879" s="27" t="str">
        <f t="shared" si="224"/>
        <v>#REF!</v>
      </c>
      <c r="I879" s="27" t="s">
        <v>3515</v>
      </c>
      <c r="J879" s="27" t="s">
        <v>3516</v>
      </c>
      <c r="K879" s="79" t="str">
        <f t="shared" si="225"/>
        <v>#REF!</v>
      </c>
      <c r="L879" s="27" t="s">
        <v>3515</v>
      </c>
      <c r="M879" s="27" t="str">
        <f t="shared" si="226"/>
        <v>#REF!</v>
      </c>
      <c r="P879" s="78"/>
      <c r="Q879" s="6" t="str">
        <f t="shared" si="227"/>
        <v>#REF!</v>
      </c>
    </row>
    <row r="880" ht="12.0" customHeight="1">
      <c r="A880" s="22"/>
      <c r="B880" s="27" t="str">
        <f t="shared" si="223"/>
        <v>#REF!</v>
      </c>
      <c r="C880" s="27"/>
      <c r="D880" s="27"/>
      <c r="E880" s="27"/>
      <c r="F880" s="27"/>
      <c r="G880" s="27" t="s">
        <v>3512</v>
      </c>
      <c r="H880" s="27" t="str">
        <f t="shared" si="224"/>
        <v>#REF!</v>
      </c>
      <c r="I880" s="27" t="s">
        <v>3515</v>
      </c>
      <c r="J880" s="27" t="s">
        <v>3516</v>
      </c>
      <c r="K880" s="79" t="str">
        <f t="shared" si="225"/>
        <v>#REF!</v>
      </c>
      <c r="L880" s="27" t="s">
        <v>3515</v>
      </c>
      <c r="M880" s="27" t="str">
        <f t="shared" si="226"/>
        <v>#REF!</v>
      </c>
      <c r="P880" s="78"/>
      <c r="Q880" s="6" t="str">
        <f t="shared" si="227"/>
        <v>#REF!</v>
      </c>
    </row>
    <row r="881" ht="12.0" customHeight="1">
      <c r="A881" s="22"/>
      <c r="B881" s="27" t="str">
        <f t="shared" si="223"/>
        <v>#REF!</v>
      </c>
      <c r="C881" s="27"/>
      <c r="D881" s="27"/>
      <c r="E881" s="27"/>
      <c r="F881" s="27"/>
      <c r="G881" s="27" t="s">
        <v>3512</v>
      </c>
      <c r="H881" s="27" t="str">
        <f t="shared" si="224"/>
        <v>#REF!</v>
      </c>
      <c r="I881" s="27" t="s">
        <v>3515</v>
      </c>
      <c r="J881" s="27" t="s">
        <v>3516</v>
      </c>
      <c r="K881" s="79" t="str">
        <f t="shared" si="225"/>
        <v>#REF!</v>
      </c>
      <c r="L881" s="27" t="s">
        <v>3515</v>
      </c>
      <c r="M881" s="27" t="str">
        <f t="shared" si="226"/>
        <v>#REF!</v>
      </c>
      <c r="P881" s="78"/>
      <c r="Q881" s="6" t="str">
        <f t="shared" si="227"/>
        <v>#REF!</v>
      </c>
    </row>
    <row r="882" ht="12.0" customHeight="1">
      <c r="A882" s="22"/>
      <c r="B882" s="27" t="str">
        <f t="shared" si="223"/>
        <v>#REF!</v>
      </c>
      <c r="C882" s="27"/>
      <c r="D882" s="27"/>
      <c r="E882" s="27"/>
      <c r="F882" s="27"/>
      <c r="G882" s="27" t="s">
        <v>3512</v>
      </c>
      <c r="H882" s="27" t="str">
        <f t="shared" si="224"/>
        <v>#REF!</v>
      </c>
      <c r="I882" s="27" t="s">
        <v>3515</v>
      </c>
      <c r="J882" s="27" t="s">
        <v>3516</v>
      </c>
      <c r="K882" s="79" t="str">
        <f t="shared" si="225"/>
        <v>#REF!</v>
      </c>
      <c r="L882" s="27" t="s">
        <v>3515</v>
      </c>
      <c r="M882" s="27" t="str">
        <f t="shared" si="226"/>
        <v>#REF!</v>
      </c>
      <c r="P882" s="78"/>
      <c r="Q882" s="6" t="str">
        <f t="shared" si="227"/>
        <v>#REF!</v>
      </c>
    </row>
    <row r="883" ht="12.0" customHeight="1">
      <c r="A883" s="22"/>
      <c r="B883" s="27" t="str">
        <f t="shared" si="223"/>
        <v>#REF!</v>
      </c>
      <c r="C883" s="27"/>
      <c r="D883" s="27"/>
      <c r="E883" s="27"/>
      <c r="F883" s="27"/>
      <c r="G883" s="27" t="s">
        <v>3512</v>
      </c>
      <c r="H883" s="27" t="str">
        <f t="shared" si="224"/>
        <v>#REF!</v>
      </c>
      <c r="I883" s="27" t="s">
        <v>3515</v>
      </c>
      <c r="J883" s="27" t="s">
        <v>3516</v>
      </c>
      <c r="K883" s="79" t="str">
        <f t="shared" si="225"/>
        <v>#REF!</v>
      </c>
      <c r="L883" s="27" t="s">
        <v>3515</v>
      </c>
      <c r="M883" s="27" t="str">
        <f t="shared" si="226"/>
        <v>#REF!</v>
      </c>
      <c r="P883" s="78"/>
      <c r="Q883" s="6" t="str">
        <f t="shared" si="227"/>
        <v>#REF!</v>
      </c>
    </row>
    <row r="884" ht="12.0" customHeight="1">
      <c r="A884" s="22"/>
      <c r="B884" s="27" t="str">
        <f t="shared" si="223"/>
        <v>#REF!</v>
      </c>
      <c r="C884" s="27"/>
      <c r="D884" s="27"/>
      <c r="E884" s="27"/>
      <c r="F884" s="27"/>
      <c r="G884" s="27" t="s">
        <v>3512</v>
      </c>
      <c r="H884" s="27" t="str">
        <f t="shared" si="224"/>
        <v>#REF!</v>
      </c>
      <c r="I884" s="27" t="s">
        <v>3515</v>
      </c>
      <c r="J884" s="27" t="s">
        <v>3516</v>
      </c>
      <c r="K884" s="79" t="str">
        <f t="shared" si="225"/>
        <v>#REF!</v>
      </c>
      <c r="L884" s="27" t="s">
        <v>3515</v>
      </c>
      <c r="M884" s="27" t="str">
        <f t="shared" si="226"/>
        <v>#REF!</v>
      </c>
      <c r="P884" s="78"/>
      <c r="Q884" s="6" t="str">
        <f t="shared" si="227"/>
        <v>#REF!</v>
      </c>
    </row>
    <row r="885" ht="12.0" customHeight="1">
      <c r="A885" s="22"/>
      <c r="B885" s="27" t="str">
        <f t="shared" si="223"/>
        <v>#REF!</v>
      </c>
      <c r="C885" s="27"/>
      <c r="D885" s="27"/>
      <c r="E885" s="27"/>
      <c r="F885" s="27"/>
      <c r="G885" s="27" t="s">
        <v>3512</v>
      </c>
      <c r="H885" s="27" t="str">
        <f t="shared" si="224"/>
        <v>#REF!</v>
      </c>
      <c r="I885" s="27" t="s">
        <v>3515</v>
      </c>
      <c r="J885" s="27" t="s">
        <v>3516</v>
      </c>
      <c r="K885" s="79" t="str">
        <f t="shared" si="225"/>
        <v>#REF!</v>
      </c>
      <c r="L885" s="27" t="s">
        <v>3515</v>
      </c>
      <c r="M885" s="27" t="str">
        <f t="shared" si="226"/>
        <v>#REF!</v>
      </c>
      <c r="P885" s="78"/>
      <c r="Q885" s="6" t="str">
        <f t="shared" si="227"/>
        <v>#REF!</v>
      </c>
    </row>
    <row r="886" ht="12.0" customHeight="1">
      <c r="A886" s="22"/>
      <c r="B886" s="27" t="str">
        <f t="shared" si="223"/>
        <v>#REF!</v>
      </c>
      <c r="C886" s="27"/>
      <c r="D886" s="27"/>
      <c r="E886" s="27"/>
      <c r="F886" s="27"/>
      <c r="G886" s="27" t="s">
        <v>3512</v>
      </c>
      <c r="H886" s="27" t="str">
        <f t="shared" si="224"/>
        <v>#REF!</v>
      </c>
      <c r="I886" s="27" t="s">
        <v>3515</v>
      </c>
      <c r="J886" s="27" t="s">
        <v>3516</v>
      </c>
      <c r="K886" s="79" t="str">
        <f t="shared" si="225"/>
        <v>#REF!</v>
      </c>
      <c r="L886" s="27" t="s">
        <v>3515</v>
      </c>
      <c r="M886" s="27" t="str">
        <f t="shared" si="226"/>
        <v>#REF!</v>
      </c>
      <c r="P886" s="78"/>
      <c r="Q886" s="6" t="str">
        <f t="shared" si="227"/>
        <v>#REF!</v>
      </c>
    </row>
    <row r="887" ht="12.0" customHeight="1">
      <c r="A887" s="22"/>
      <c r="B887" s="27" t="str">
        <f t="shared" si="223"/>
        <v>#REF!</v>
      </c>
      <c r="C887" s="27"/>
      <c r="D887" s="27"/>
      <c r="E887" s="27"/>
      <c r="F887" s="27"/>
      <c r="G887" s="27" t="s">
        <v>3512</v>
      </c>
      <c r="H887" s="27" t="str">
        <f t="shared" si="224"/>
        <v>#REF!</v>
      </c>
      <c r="I887" s="27" t="s">
        <v>3515</v>
      </c>
      <c r="J887" s="27" t="s">
        <v>3516</v>
      </c>
      <c r="K887" s="79" t="str">
        <f t="shared" si="225"/>
        <v>#REF!</v>
      </c>
      <c r="L887" s="27" t="s">
        <v>3515</v>
      </c>
      <c r="M887" s="27" t="str">
        <f t="shared" si="226"/>
        <v>#REF!</v>
      </c>
      <c r="P887" s="78"/>
      <c r="Q887" s="6" t="str">
        <f t="shared" si="227"/>
        <v>#REF!</v>
      </c>
    </row>
    <row r="888" ht="12.0" customHeight="1">
      <c r="A888" s="22"/>
      <c r="B888" s="27" t="str">
        <f t="shared" si="223"/>
        <v>#REF!</v>
      </c>
      <c r="C888" s="27"/>
      <c r="D888" s="27"/>
      <c r="E888" s="27"/>
      <c r="F888" s="27"/>
      <c r="G888" s="27" t="s">
        <v>3512</v>
      </c>
      <c r="H888" s="27" t="str">
        <f t="shared" si="224"/>
        <v>#REF!</v>
      </c>
      <c r="I888" s="27" t="s">
        <v>3515</v>
      </c>
      <c r="J888" s="27" t="s">
        <v>3516</v>
      </c>
      <c r="K888" s="79" t="str">
        <f t="shared" si="225"/>
        <v>#REF!</v>
      </c>
      <c r="L888" s="27" t="s">
        <v>3515</v>
      </c>
      <c r="M888" s="27" t="str">
        <f t="shared" si="226"/>
        <v>#REF!</v>
      </c>
      <c r="P888" s="78"/>
      <c r="Q888" s="6" t="str">
        <f t="shared" si="227"/>
        <v>#REF!</v>
      </c>
    </row>
    <row r="889" ht="12.0" customHeight="1">
      <c r="A889" s="22"/>
      <c r="B889" s="27" t="str">
        <f t="shared" si="223"/>
        <v>#REF!</v>
      </c>
      <c r="C889" s="27"/>
      <c r="D889" s="27"/>
      <c r="E889" s="27"/>
      <c r="F889" s="27"/>
      <c r="G889" s="27" t="s">
        <v>3512</v>
      </c>
      <c r="H889" s="27" t="str">
        <f t="shared" si="224"/>
        <v>#REF!</v>
      </c>
      <c r="I889" s="27" t="s">
        <v>3515</v>
      </c>
      <c r="J889" s="27" t="s">
        <v>3516</v>
      </c>
      <c r="K889" s="79" t="str">
        <f t="shared" si="225"/>
        <v>#REF!</v>
      </c>
      <c r="L889" s="27" t="s">
        <v>3515</v>
      </c>
      <c r="M889" s="27" t="str">
        <f t="shared" si="226"/>
        <v>#REF!</v>
      </c>
      <c r="P889" s="78"/>
      <c r="Q889" s="6" t="str">
        <f t="shared" si="227"/>
        <v>#REF!</v>
      </c>
    </row>
    <row r="890" ht="12.0" customHeight="1">
      <c r="A890" s="22"/>
      <c r="B890" s="27" t="str">
        <f t="shared" si="223"/>
        <v>#REF!</v>
      </c>
      <c r="C890" s="27"/>
      <c r="D890" s="27"/>
      <c r="E890" s="27"/>
      <c r="F890" s="27"/>
      <c r="G890" s="27" t="s">
        <v>3512</v>
      </c>
      <c r="H890" s="27" t="str">
        <f t="shared" si="224"/>
        <v>#REF!</v>
      </c>
      <c r="I890" s="27" t="s">
        <v>3515</v>
      </c>
      <c r="J890" s="27" t="s">
        <v>3516</v>
      </c>
      <c r="K890" s="79" t="str">
        <f t="shared" si="225"/>
        <v>#REF!</v>
      </c>
      <c r="L890" s="27" t="s">
        <v>3515</v>
      </c>
      <c r="M890" s="27" t="str">
        <f t="shared" si="226"/>
        <v>#REF!</v>
      </c>
      <c r="P890" s="78"/>
      <c r="Q890" s="6" t="str">
        <f t="shared" si="227"/>
        <v>#REF!</v>
      </c>
    </row>
    <row r="891" ht="12.0" customHeight="1">
      <c r="A891" s="22"/>
      <c r="B891" s="27" t="str">
        <f t="shared" si="223"/>
        <v>#REF!</v>
      </c>
      <c r="C891" s="27"/>
      <c r="D891" s="27"/>
      <c r="E891" s="27"/>
      <c r="F891" s="27"/>
      <c r="G891" s="27" t="s">
        <v>3512</v>
      </c>
      <c r="H891" s="27" t="str">
        <f t="shared" si="224"/>
        <v>#REF!</v>
      </c>
      <c r="I891" s="27" t="s">
        <v>3515</v>
      </c>
      <c r="J891" s="27" t="s">
        <v>3516</v>
      </c>
      <c r="K891" s="79" t="str">
        <f t="shared" si="225"/>
        <v>#REF!</v>
      </c>
      <c r="L891" s="27" t="s">
        <v>3515</v>
      </c>
      <c r="M891" s="27" t="str">
        <f t="shared" si="226"/>
        <v>#REF!</v>
      </c>
      <c r="P891" s="78"/>
      <c r="Q891" s="6" t="str">
        <f t="shared" si="227"/>
        <v>#REF!</v>
      </c>
    </row>
    <row r="892" ht="12.0" customHeight="1">
      <c r="A892" s="22"/>
      <c r="B892" s="27" t="str">
        <f t="shared" si="223"/>
        <v>#REF!</v>
      </c>
      <c r="C892" s="27"/>
      <c r="D892" s="27"/>
      <c r="E892" s="27"/>
      <c r="F892" s="27"/>
      <c r="G892" s="27" t="s">
        <v>3512</v>
      </c>
      <c r="H892" s="27" t="str">
        <f t="shared" si="224"/>
        <v>#REF!</v>
      </c>
      <c r="I892" s="27" t="s">
        <v>3515</v>
      </c>
      <c r="J892" s="27" t="s">
        <v>3516</v>
      </c>
      <c r="K892" s="79" t="str">
        <f t="shared" si="225"/>
        <v>#REF!</v>
      </c>
      <c r="L892" s="27" t="s">
        <v>3515</v>
      </c>
      <c r="M892" s="27" t="str">
        <f t="shared" si="226"/>
        <v>#REF!</v>
      </c>
      <c r="P892" s="78"/>
      <c r="Q892" s="6" t="str">
        <f t="shared" si="227"/>
        <v>#REF!</v>
      </c>
    </row>
    <row r="893" ht="12.0" customHeight="1">
      <c r="A893" s="22"/>
      <c r="B893" s="27" t="str">
        <f t="shared" si="223"/>
        <v>#REF!</v>
      </c>
      <c r="C893" s="27"/>
      <c r="D893" s="27"/>
      <c r="E893" s="27"/>
      <c r="F893" s="27"/>
      <c r="G893" s="27" t="s">
        <v>3512</v>
      </c>
      <c r="H893" s="27" t="str">
        <f t="shared" si="224"/>
        <v>#REF!</v>
      </c>
      <c r="I893" s="27" t="s">
        <v>3515</v>
      </c>
      <c r="J893" s="27" t="s">
        <v>3516</v>
      </c>
      <c r="K893" s="79" t="str">
        <f t="shared" si="225"/>
        <v>#REF!</v>
      </c>
      <c r="L893" s="27" t="s">
        <v>3515</v>
      </c>
      <c r="M893" s="27" t="str">
        <f t="shared" si="226"/>
        <v>#REF!</v>
      </c>
      <c r="P893" s="78"/>
      <c r="Q893" s="6" t="str">
        <f t="shared" si="227"/>
        <v>#REF!</v>
      </c>
    </row>
    <row r="894" ht="12.0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79"/>
      <c r="L894" s="27"/>
      <c r="M894" s="27"/>
      <c r="N894" s="27"/>
      <c r="O894" s="27"/>
      <c r="P894" s="90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2.0" customHeight="1">
      <c r="A895" s="27"/>
      <c r="B895" s="22" t="s">
        <v>174</v>
      </c>
      <c r="C895" s="27"/>
      <c r="D895" s="27"/>
      <c r="E895" s="27"/>
      <c r="F895" s="27"/>
      <c r="G895" s="27"/>
      <c r="H895" s="27"/>
      <c r="I895" s="27"/>
      <c r="J895" s="27"/>
      <c r="K895" s="79"/>
      <c r="L895" s="27"/>
      <c r="M895" s="27"/>
      <c r="N895" s="27"/>
      <c r="O895" s="27"/>
      <c r="P895" s="90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2.0" customHeight="1">
      <c r="A896" s="22"/>
      <c r="B896" s="22" t="s">
        <v>3973</v>
      </c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P896" s="78"/>
    </row>
    <row r="897" ht="12.0" customHeight="1">
      <c r="A897" s="22"/>
      <c r="B897" s="22" t="s">
        <v>174</v>
      </c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P897" s="78"/>
    </row>
    <row r="898" ht="12.0" customHeight="1">
      <c r="A898" s="22"/>
      <c r="B898" s="27" t="str">
        <f t="shared" ref="B898:B912" si="228">'Exile INPUT'!C811</f>
        <v>#REF!</v>
      </c>
      <c r="C898" s="27"/>
      <c r="D898" s="27"/>
      <c r="E898" s="27"/>
      <c r="F898" s="27"/>
      <c r="G898" s="27" t="s">
        <v>3512</v>
      </c>
      <c r="H898" s="27" t="str">
        <f t="shared" ref="H898:H912" si="229">'Exile INPUT'!F811</f>
        <v>#REF!</v>
      </c>
      <c r="I898" s="27" t="s">
        <v>3515</v>
      </c>
      <c r="J898" s="27" t="s">
        <v>3516</v>
      </c>
      <c r="K898" s="79" t="str">
        <f t="shared" ref="K898:K912" si="230">'Exile INPUT'!J811</f>
        <v>#REF!</v>
      </c>
      <c r="L898" s="27" t="s">
        <v>3515</v>
      </c>
      <c r="M898" s="27" t="str">
        <f t="shared" ref="M898:M912" si="231">IF(Q898 = 0, "};",CONCATENATE("sellPrice = ",Q898,"; };"))</f>
        <v>#REF!</v>
      </c>
      <c r="P898" s="78"/>
      <c r="Q898" s="6" t="str">
        <f t="shared" ref="Q898:Q912" si="232">K898*$X$12</f>
        <v>#REF!</v>
      </c>
    </row>
    <row r="899" ht="12.0" customHeight="1">
      <c r="A899" s="22"/>
      <c r="B899" s="27" t="str">
        <f t="shared" si="228"/>
        <v>#REF!</v>
      </c>
      <c r="C899" s="27"/>
      <c r="D899" s="27"/>
      <c r="E899" s="27"/>
      <c r="F899" s="27"/>
      <c r="G899" s="27" t="s">
        <v>3512</v>
      </c>
      <c r="H899" s="27" t="str">
        <f t="shared" si="229"/>
        <v>#REF!</v>
      </c>
      <c r="I899" s="27" t="s">
        <v>3515</v>
      </c>
      <c r="J899" s="27" t="s">
        <v>3516</v>
      </c>
      <c r="K899" s="79" t="str">
        <f t="shared" si="230"/>
        <v>#REF!</v>
      </c>
      <c r="L899" s="27" t="s">
        <v>3515</v>
      </c>
      <c r="M899" s="27" t="str">
        <f t="shared" si="231"/>
        <v>#REF!</v>
      </c>
      <c r="P899" s="78"/>
      <c r="Q899" s="6" t="str">
        <f t="shared" si="232"/>
        <v>#REF!</v>
      </c>
    </row>
    <row r="900" ht="12.0" customHeight="1">
      <c r="A900" s="22"/>
      <c r="B900" s="27" t="str">
        <f t="shared" si="228"/>
        <v>#REF!</v>
      </c>
      <c r="C900" s="27"/>
      <c r="D900" s="27"/>
      <c r="E900" s="27"/>
      <c r="F900" s="27"/>
      <c r="G900" s="27" t="s">
        <v>3512</v>
      </c>
      <c r="H900" s="27" t="str">
        <f t="shared" si="229"/>
        <v>#REF!</v>
      </c>
      <c r="I900" s="27" t="s">
        <v>3515</v>
      </c>
      <c r="J900" s="27" t="s">
        <v>3516</v>
      </c>
      <c r="K900" s="79" t="str">
        <f t="shared" si="230"/>
        <v>#REF!</v>
      </c>
      <c r="L900" s="27" t="s">
        <v>3515</v>
      </c>
      <c r="M900" s="27" t="str">
        <f t="shared" si="231"/>
        <v>#REF!</v>
      </c>
      <c r="P900" s="78"/>
      <c r="Q900" s="6" t="str">
        <f t="shared" si="232"/>
        <v>#REF!</v>
      </c>
    </row>
    <row r="901" ht="12.0" customHeight="1">
      <c r="A901" s="22"/>
      <c r="B901" s="27" t="str">
        <f t="shared" si="228"/>
        <v>#REF!</v>
      </c>
      <c r="C901" s="27"/>
      <c r="D901" s="27"/>
      <c r="E901" s="27"/>
      <c r="F901" s="27"/>
      <c r="G901" s="27" t="s">
        <v>3512</v>
      </c>
      <c r="H901" s="27" t="str">
        <f t="shared" si="229"/>
        <v>#REF!</v>
      </c>
      <c r="I901" s="27" t="s">
        <v>3515</v>
      </c>
      <c r="J901" s="27" t="s">
        <v>3516</v>
      </c>
      <c r="K901" s="79" t="str">
        <f t="shared" si="230"/>
        <v>#REF!</v>
      </c>
      <c r="L901" s="27" t="s">
        <v>3515</v>
      </c>
      <c r="M901" s="27" t="str">
        <f t="shared" si="231"/>
        <v>#REF!</v>
      </c>
      <c r="P901" s="78"/>
      <c r="Q901" s="6" t="str">
        <f t="shared" si="232"/>
        <v>#REF!</v>
      </c>
    </row>
    <row r="902" ht="12.0" customHeight="1">
      <c r="A902" s="22"/>
      <c r="B902" s="27" t="str">
        <f t="shared" si="228"/>
        <v>#REF!</v>
      </c>
      <c r="C902" s="27"/>
      <c r="D902" s="27"/>
      <c r="E902" s="27"/>
      <c r="F902" s="27"/>
      <c r="G902" s="27" t="s">
        <v>3512</v>
      </c>
      <c r="H902" s="27" t="str">
        <f t="shared" si="229"/>
        <v>#REF!</v>
      </c>
      <c r="I902" s="27" t="s">
        <v>3515</v>
      </c>
      <c r="J902" s="27" t="s">
        <v>3516</v>
      </c>
      <c r="K902" s="79" t="str">
        <f t="shared" si="230"/>
        <v>#REF!</v>
      </c>
      <c r="L902" s="27" t="s">
        <v>3515</v>
      </c>
      <c r="M902" s="27" t="str">
        <f t="shared" si="231"/>
        <v>#REF!</v>
      </c>
      <c r="P902" s="78"/>
      <c r="Q902" s="6" t="str">
        <f t="shared" si="232"/>
        <v>#REF!</v>
      </c>
    </row>
    <row r="903" ht="12.0" customHeight="1">
      <c r="A903" s="22"/>
      <c r="B903" s="27" t="str">
        <f t="shared" si="228"/>
        <v>#REF!</v>
      </c>
      <c r="C903" s="27"/>
      <c r="D903" s="27"/>
      <c r="E903" s="27"/>
      <c r="F903" s="27"/>
      <c r="G903" s="27" t="s">
        <v>3512</v>
      </c>
      <c r="H903" s="27" t="str">
        <f t="shared" si="229"/>
        <v>#REF!</v>
      </c>
      <c r="I903" s="27" t="s">
        <v>3515</v>
      </c>
      <c r="J903" s="27" t="s">
        <v>3516</v>
      </c>
      <c r="K903" s="79" t="str">
        <f t="shared" si="230"/>
        <v>#REF!</v>
      </c>
      <c r="L903" s="27" t="s">
        <v>3515</v>
      </c>
      <c r="M903" s="27" t="str">
        <f t="shared" si="231"/>
        <v>#REF!</v>
      </c>
      <c r="P903" s="78"/>
      <c r="Q903" s="6" t="str">
        <f t="shared" si="232"/>
        <v>#REF!</v>
      </c>
    </row>
    <row r="904" ht="12.0" customHeight="1">
      <c r="A904" s="22"/>
      <c r="B904" s="27" t="str">
        <f t="shared" si="228"/>
        <v>#REF!</v>
      </c>
      <c r="C904" s="27"/>
      <c r="D904" s="27"/>
      <c r="E904" s="27"/>
      <c r="F904" s="27"/>
      <c r="G904" s="27" t="s">
        <v>3512</v>
      </c>
      <c r="H904" s="27" t="str">
        <f t="shared" si="229"/>
        <v>#REF!</v>
      </c>
      <c r="I904" s="27" t="s">
        <v>3515</v>
      </c>
      <c r="J904" s="27" t="s">
        <v>3516</v>
      </c>
      <c r="K904" s="79" t="str">
        <f t="shared" si="230"/>
        <v>#REF!</v>
      </c>
      <c r="L904" s="27" t="s">
        <v>3515</v>
      </c>
      <c r="M904" s="27" t="str">
        <f t="shared" si="231"/>
        <v>#REF!</v>
      </c>
      <c r="P904" s="78"/>
      <c r="Q904" s="6" t="str">
        <f t="shared" si="232"/>
        <v>#REF!</v>
      </c>
    </row>
    <row r="905" ht="12.0" customHeight="1">
      <c r="A905" s="22"/>
      <c r="B905" s="27" t="str">
        <f t="shared" si="228"/>
        <v>#REF!</v>
      </c>
      <c r="C905" s="27"/>
      <c r="D905" s="27"/>
      <c r="E905" s="27"/>
      <c r="F905" s="27"/>
      <c r="G905" s="27" t="s">
        <v>3512</v>
      </c>
      <c r="H905" s="27" t="str">
        <f t="shared" si="229"/>
        <v>#REF!</v>
      </c>
      <c r="I905" s="27" t="s">
        <v>3515</v>
      </c>
      <c r="J905" s="27" t="s">
        <v>3516</v>
      </c>
      <c r="K905" s="79" t="str">
        <f t="shared" si="230"/>
        <v>#REF!</v>
      </c>
      <c r="L905" s="27" t="s">
        <v>3515</v>
      </c>
      <c r="M905" s="27" t="str">
        <f t="shared" si="231"/>
        <v>#REF!</v>
      </c>
      <c r="P905" s="78"/>
      <c r="Q905" s="6" t="str">
        <f t="shared" si="232"/>
        <v>#REF!</v>
      </c>
    </row>
    <row r="906" ht="12.0" customHeight="1">
      <c r="A906" s="22"/>
      <c r="B906" s="27" t="str">
        <f t="shared" si="228"/>
        <v>#REF!</v>
      </c>
      <c r="C906" s="27"/>
      <c r="D906" s="27"/>
      <c r="E906" s="27"/>
      <c r="F906" s="27"/>
      <c r="G906" s="27" t="s">
        <v>3512</v>
      </c>
      <c r="H906" s="27" t="str">
        <f t="shared" si="229"/>
        <v>#REF!</v>
      </c>
      <c r="I906" s="27" t="s">
        <v>3515</v>
      </c>
      <c r="J906" s="27" t="s">
        <v>3516</v>
      </c>
      <c r="K906" s="79" t="str">
        <f t="shared" si="230"/>
        <v>#REF!</v>
      </c>
      <c r="L906" s="27" t="s">
        <v>3515</v>
      </c>
      <c r="M906" s="27" t="str">
        <f t="shared" si="231"/>
        <v>#REF!</v>
      </c>
      <c r="P906" s="78"/>
      <c r="Q906" s="6" t="str">
        <f t="shared" si="232"/>
        <v>#REF!</v>
      </c>
    </row>
    <row r="907" ht="12.0" customHeight="1">
      <c r="A907" s="22"/>
      <c r="B907" s="27" t="str">
        <f t="shared" si="228"/>
        <v>#REF!</v>
      </c>
      <c r="C907" s="27"/>
      <c r="D907" s="27"/>
      <c r="E907" s="27"/>
      <c r="F907" s="27"/>
      <c r="G907" s="27" t="s">
        <v>3512</v>
      </c>
      <c r="H907" s="27" t="str">
        <f t="shared" si="229"/>
        <v>#REF!</v>
      </c>
      <c r="I907" s="27" t="s">
        <v>3515</v>
      </c>
      <c r="J907" s="27" t="s">
        <v>3516</v>
      </c>
      <c r="K907" s="79" t="str">
        <f t="shared" si="230"/>
        <v>#REF!</v>
      </c>
      <c r="L907" s="27" t="s">
        <v>3515</v>
      </c>
      <c r="M907" s="27" t="str">
        <f t="shared" si="231"/>
        <v>#REF!</v>
      </c>
      <c r="P907" s="78"/>
      <c r="Q907" s="6" t="str">
        <f t="shared" si="232"/>
        <v>#REF!</v>
      </c>
    </row>
    <row r="908" ht="12.0" customHeight="1">
      <c r="A908" s="22"/>
      <c r="B908" s="27" t="str">
        <f t="shared" si="228"/>
        <v>#REF!</v>
      </c>
      <c r="C908" s="27"/>
      <c r="D908" s="27"/>
      <c r="E908" s="27"/>
      <c r="F908" s="27"/>
      <c r="G908" s="27" t="s">
        <v>3512</v>
      </c>
      <c r="H908" s="27" t="str">
        <f t="shared" si="229"/>
        <v>#REF!</v>
      </c>
      <c r="I908" s="27" t="s">
        <v>3515</v>
      </c>
      <c r="J908" s="27" t="s">
        <v>3516</v>
      </c>
      <c r="K908" s="79" t="str">
        <f t="shared" si="230"/>
        <v>#REF!</v>
      </c>
      <c r="L908" s="27" t="s">
        <v>3515</v>
      </c>
      <c r="M908" s="27" t="str">
        <f t="shared" si="231"/>
        <v>#REF!</v>
      </c>
      <c r="P908" s="78"/>
      <c r="Q908" s="6" t="str">
        <f t="shared" si="232"/>
        <v>#REF!</v>
      </c>
    </row>
    <row r="909" ht="12.0" customHeight="1">
      <c r="A909" s="22"/>
      <c r="B909" s="27" t="str">
        <f t="shared" si="228"/>
        <v>#REF!</v>
      </c>
      <c r="C909" s="27"/>
      <c r="D909" s="27"/>
      <c r="E909" s="27"/>
      <c r="F909" s="27"/>
      <c r="G909" s="27" t="s">
        <v>3512</v>
      </c>
      <c r="H909" s="27" t="str">
        <f t="shared" si="229"/>
        <v>#REF!</v>
      </c>
      <c r="I909" s="27" t="s">
        <v>3515</v>
      </c>
      <c r="J909" s="27" t="s">
        <v>3516</v>
      </c>
      <c r="K909" s="79" t="str">
        <f t="shared" si="230"/>
        <v>#REF!</v>
      </c>
      <c r="L909" s="27" t="s">
        <v>3515</v>
      </c>
      <c r="M909" s="27" t="str">
        <f t="shared" si="231"/>
        <v>#REF!</v>
      </c>
      <c r="P909" s="78"/>
      <c r="Q909" s="6" t="str">
        <f t="shared" si="232"/>
        <v>#REF!</v>
      </c>
    </row>
    <row r="910" ht="12.0" customHeight="1">
      <c r="A910" s="22"/>
      <c r="B910" s="27" t="str">
        <f t="shared" si="228"/>
        <v>#REF!</v>
      </c>
      <c r="C910" s="27"/>
      <c r="D910" s="27"/>
      <c r="E910" s="27"/>
      <c r="F910" s="27"/>
      <c r="G910" s="27" t="s">
        <v>3512</v>
      </c>
      <c r="H910" s="27" t="str">
        <f t="shared" si="229"/>
        <v>#REF!</v>
      </c>
      <c r="I910" s="27" t="s">
        <v>3515</v>
      </c>
      <c r="J910" s="27" t="s">
        <v>3516</v>
      </c>
      <c r="K910" s="79" t="str">
        <f t="shared" si="230"/>
        <v>#REF!</v>
      </c>
      <c r="L910" s="27" t="s">
        <v>3515</v>
      </c>
      <c r="M910" s="27" t="str">
        <f t="shared" si="231"/>
        <v>#REF!</v>
      </c>
      <c r="P910" s="78"/>
      <c r="Q910" s="6" t="str">
        <f t="shared" si="232"/>
        <v>#REF!</v>
      </c>
    </row>
    <row r="911" ht="12.0" customHeight="1">
      <c r="A911" s="22"/>
      <c r="B911" s="27" t="str">
        <f t="shared" si="228"/>
        <v>#REF!</v>
      </c>
      <c r="C911" s="27"/>
      <c r="D911" s="27"/>
      <c r="E911" s="27"/>
      <c r="F911" s="27"/>
      <c r="G911" s="27" t="s">
        <v>3512</v>
      </c>
      <c r="H911" s="27" t="str">
        <f t="shared" si="229"/>
        <v>#REF!</v>
      </c>
      <c r="I911" s="27" t="s">
        <v>3515</v>
      </c>
      <c r="J911" s="27" t="s">
        <v>3516</v>
      </c>
      <c r="K911" s="79" t="str">
        <f t="shared" si="230"/>
        <v>#REF!</v>
      </c>
      <c r="L911" s="27" t="s">
        <v>3515</v>
      </c>
      <c r="M911" s="27" t="str">
        <f t="shared" si="231"/>
        <v>#REF!</v>
      </c>
      <c r="P911" s="80"/>
      <c r="Q911" s="6" t="str">
        <f t="shared" si="232"/>
        <v>#REF!</v>
      </c>
    </row>
    <row r="912" ht="12.0" customHeight="1">
      <c r="A912" s="22"/>
      <c r="B912" s="27" t="str">
        <f t="shared" si="228"/>
        <v>#REF!</v>
      </c>
      <c r="C912" s="27"/>
      <c r="D912" s="27"/>
      <c r="E912" s="27"/>
      <c r="F912" s="27"/>
      <c r="G912" s="27" t="s">
        <v>3512</v>
      </c>
      <c r="H912" s="27" t="str">
        <f t="shared" si="229"/>
        <v>#REF!</v>
      </c>
      <c r="I912" s="27" t="s">
        <v>3515</v>
      </c>
      <c r="J912" s="27" t="s">
        <v>3516</v>
      </c>
      <c r="K912" s="79" t="str">
        <f t="shared" si="230"/>
        <v>#REF!</v>
      </c>
      <c r="L912" s="27" t="s">
        <v>3515</v>
      </c>
      <c r="M912" s="27" t="str">
        <f t="shared" si="231"/>
        <v>#REF!</v>
      </c>
      <c r="P912" s="78"/>
      <c r="Q912" s="6" t="str">
        <f t="shared" si="232"/>
        <v>#REF!</v>
      </c>
    </row>
    <row r="913" ht="12.0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79"/>
      <c r="L913" s="27"/>
      <c r="M913" s="27"/>
      <c r="N913" s="27"/>
      <c r="O913" s="27"/>
      <c r="P913" s="90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2.0" customHeight="1">
      <c r="A914" s="27"/>
      <c r="B914" s="22" t="s">
        <v>174</v>
      </c>
      <c r="C914" s="27"/>
      <c r="D914" s="27"/>
      <c r="E914" s="27"/>
      <c r="F914" s="27"/>
      <c r="G914" s="27"/>
      <c r="H914" s="27"/>
      <c r="I914" s="27"/>
      <c r="J914" s="27"/>
      <c r="K914" s="79"/>
      <c r="L914" s="27"/>
      <c r="M914" s="27"/>
      <c r="N914" s="27"/>
      <c r="O914" s="27"/>
      <c r="P914" s="90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2.0" customHeight="1">
      <c r="A915" s="22"/>
      <c r="B915" s="22" t="s">
        <v>3974</v>
      </c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P915" s="78"/>
    </row>
    <row r="916" ht="12.0" customHeight="1">
      <c r="A916" s="22"/>
      <c r="B916" s="22" t="s">
        <v>174</v>
      </c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P916" s="78"/>
    </row>
    <row r="917" ht="12.0" customHeight="1">
      <c r="A917" s="22"/>
      <c r="B917" s="27" t="str">
        <f t="shared" ref="B917:B927" si="233">'Exile INPUT'!C828</f>
        <v>#REF!</v>
      </c>
      <c r="C917" s="27"/>
      <c r="D917" s="27"/>
      <c r="E917" s="27"/>
      <c r="F917" s="27"/>
      <c r="G917" s="27" t="s">
        <v>3512</v>
      </c>
      <c r="H917" s="27" t="str">
        <f t="shared" ref="H917:H927" si="234">'Exile INPUT'!F828</f>
        <v>#REF!</v>
      </c>
      <c r="I917" s="27" t="s">
        <v>3515</v>
      </c>
      <c r="J917" s="27" t="s">
        <v>3516</v>
      </c>
      <c r="K917" s="79" t="str">
        <f t="shared" ref="K917:K927" si="235">'Exile INPUT'!J828</f>
        <v>#REF!</v>
      </c>
      <c r="L917" s="27" t="s">
        <v>3515</v>
      </c>
      <c r="M917" s="27" t="str">
        <f t="shared" ref="M917:M927" si="236">IF(Q917 = 0, "};",CONCATENATE("sellPrice = ",Q917,"; };"))</f>
        <v>#REF!</v>
      </c>
      <c r="P917" s="78"/>
      <c r="Q917" s="6" t="str">
        <f t="shared" ref="Q917:Q927" si="237">K917*$X$12</f>
        <v>#REF!</v>
      </c>
    </row>
    <row r="918" ht="12.0" customHeight="1">
      <c r="A918" s="22"/>
      <c r="B918" s="27" t="str">
        <f t="shared" si="233"/>
        <v>#REF!</v>
      </c>
      <c r="C918" s="27"/>
      <c r="D918" s="27"/>
      <c r="E918" s="27"/>
      <c r="F918" s="27"/>
      <c r="G918" s="27" t="s">
        <v>3512</v>
      </c>
      <c r="H918" s="27" t="str">
        <f t="shared" si="234"/>
        <v>#REF!</v>
      </c>
      <c r="I918" s="27" t="s">
        <v>3515</v>
      </c>
      <c r="J918" s="27" t="s">
        <v>3516</v>
      </c>
      <c r="K918" s="79" t="str">
        <f t="shared" si="235"/>
        <v>#REF!</v>
      </c>
      <c r="L918" s="27" t="s">
        <v>3515</v>
      </c>
      <c r="M918" s="27" t="str">
        <f t="shared" si="236"/>
        <v>#REF!</v>
      </c>
      <c r="P918" s="78"/>
      <c r="Q918" s="6" t="str">
        <f t="shared" si="237"/>
        <v>#REF!</v>
      </c>
    </row>
    <row r="919" ht="12.0" customHeight="1">
      <c r="A919" s="22"/>
      <c r="B919" s="27" t="str">
        <f t="shared" si="233"/>
        <v>#REF!</v>
      </c>
      <c r="C919" s="27"/>
      <c r="D919" s="27"/>
      <c r="E919" s="27"/>
      <c r="F919" s="27"/>
      <c r="G919" s="27" t="s">
        <v>3512</v>
      </c>
      <c r="H919" s="27" t="str">
        <f t="shared" si="234"/>
        <v>#REF!</v>
      </c>
      <c r="I919" s="27" t="s">
        <v>3515</v>
      </c>
      <c r="J919" s="27" t="s">
        <v>3516</v>
      </c>
      <c r="K919" s="79" t="str">
        <f t="shared" si="235"/>
        <v>#REF!</v>
      </c>
      <c r="L919" s="27" t="s">
        <v>3515</v>
      </c>
      <c r="M919" s="27" t="str">
        <f t="shared" si="236"/>
        <v>#REF!</v>
      </c>
      <c r="P919" s="78"/>
      <c r="Q919" s="6" t="str">
        <f t="shared" si="237"/>
        <v>#REF!</v>
      </c>
    </row>
    <row r="920" ht="12.0" customHeight="1">
      <c r="A920" s="22"/>
      <c r="B920" s="27" t="str">
        <f t="shared" si="233"/>
        <v>#REF!</v>
      </c>
      <c r="C920" s="27"/>
      <c r="D920" s="27"/>
      <c r="E920" s="27"/>
      <c r="F920" s="27"/>
      <c r="G920" s="27" t="s">
        <v>3512</v>
      </c>
      <c r="H920" s="27" t="str">
        <f t="shared" si="234"/>
        <v>#REF!</v>
      </c>
      <c r="I920" s="27" t="s">
        <v>3515</v>
      </c>
      <c r="J920" s="27" t="s">
        <v>3516</v>
      </c>
      <c r="K920" s="79" t="str">
        <f t="shared" si="235"/>
        <v>#REF!</v>
      </c>
      <c r="L920" s="27" t="s">
        <v>3515</v>
      </c>
      <c r="M920" s="27" t="str">
        <f t="shared" si="236"/>
        <v>#REF!</v>
      </c>
      <c r="P920" s="78"/>
      <c r="Q920" s="6" t="str">
        <f t="shared" si="237"/>
        <v>#REF!</v>
      </c>
    </row>
    <row r="921" ht="12.0" customHeight="1">
      <c r="A921" s="22"/>
      <c r="B921" s="27" t="str">
        <f t="shared" si="233"/>
        <v>#REF!</v>
      </c>
      <c r="C921" s="27"/>
      <c r="D921" s="27"/>
      <c r="E921" s="27"/>
      <c r="F921" s="27"/>
      <c r="G921" s="27" t="s">
        <v>3512</v>
      </c>
      <c r="H921" s="27" t="str">
        <f t="shared" si="234"/>
        <v>#REF!</v>
      </c>
      <c r="I921" s="27" t="s">
        <v>3515</v>
      </c>
      <c r="J921" s="27" t="s">
        <v>3516</v>
      </c>
      <c r="K921" s="79" t="str">
        <f t="shared" si="235"/>
        <v>#REF!</v>
      </c>
      <c r="L921" s="27" t="s">
        <v>3515</v>
      </c>
      <c r="M921" s="27" t="str">
        <f t="shared" si="236"/>
        <v>#REF!</v>
      </c>
      <c r="P921" s="78"/>
      <c r="Q921" s="6" t="str">
        <f t="shared" si="237"/>
        <v>#REF!</v>
      </c>
    </row>
    <row r="922" ht="12.0" customHeight="1">
      <c r="A922" s="22"/>
      <c r="B922" s="27" t="str">
        <f t="shared" si="233"/>
        <v>#REF!</v>
      </c>
      <c r="C922" s="27"/>
      <c r="D922" s="27"/>
      <c r="E922" s="27"/>
      <c r="F922" s="27"/>
      <c r="G922" s="27" t="s">
        <v>3512</v>
      </c>
      <c r="H922" s="27" t="str">
        <f t="shared" si="234"/>
        <v>#REF!</v>
      </c>
      <c r="I922" s="27" t="s">
        <v>3515</v>
      </c>
      <c r="J922" s="27" t="s">
        <v>3516</v>
      </c>
      <c r="K922" s="79" t="str">
        <f t="shared" si="235"/>
        <v>#REF!</v>
      </c>
      <c r="L922" s="27" t="s">
        <v>3515</v>
      </c>
      <c r="M922" s="27" t="str">
        <f t="shared" si="236"/>
        <v>#REF!</v>
      </c>
      <c r="P922" s="78"/>
      <c r="Q922" s="6" t="str">
        <f t="shared" si="237"/>
        <v>#REF!</v>
      </c>
    </row>
    <row r="923" ht="12.0" customHeight="1">
      <c r="A923" s="22"/>
      <c r="B923" s="27" t="str">
        <f t="shared" si="233"/>
        <v>#REF!</v>
      </c>
      <c r="C923" s="27"/>
      <c r="D923" s="27"/>
      <c r="E923" s="27"/>
      <c r="F923" s="27"/>
      <c r="G923" s="27" t="s">
        <v>3512</v>
      </c>
      <c r="H923" s="27" t="str">
        <f t="shared" si="234"/>
        <v>#REF!</v>
      </c>
      <c r="I923" s="27" t="s">
        <v>3515</v>
      </c>
      <c r="J923" s="27" t="s">
        <v>3516</v>
      </c>
      <c r="K923" s="79" t="str">
        <f t="shared" si="235"/>
        <v>#REF!</v>
      </c>
      <c r="L923" s="27" t="s">
        <v>3515</v>
      </c>
      <c r="M923" s="27" t="str">
        <f t="shared" si="236"/>
        <v>#REF!</v>
      </c>
      <c r="P923" s="78"/>
      <c r="Q923" s="6" t="str">
        <f t="shared" si="237"/>
        <v>#REF!</v>
      </c>
    </row>
    <row r="924" ht="12.0" customHeight="1">
      <c r="A924" s="22"/>
      <c r="B924" s="27" t="str">
        <f t="shared" si="233"/>
        <v>#REF!</v>
      </c>
      <c r="C924" s="27"/>
      <c r="D924" s="27"/>
      <c r="E924" s="27"/>
      <c r="F924" s="27"/>
      <c r="G924" s="27" t="s">
        <v>3512</v>
      </c>
      <c r="H924" s="27" t="str">
        <f t="shared" si="234"/>
        <v>#REF!</v>
      </c>
      <c r="I924" s="27" t="s">
        <v>3515</v>
      </c>
      <c r="J924" s="27" t="s">
        <v>3516</v>
      </c>
      <c r="K924" s="79" t="str">
        <f t="shared" si="235"/>
        <v>#REF!</v>
      </c>
      <c r="L924" s="27" t="s">
        <v>3515</v>
      </c>
      <c r="M924" s="27" t="str">
        <f t="shared" si="236"/>
        <v>#REF!</v>
      </c>
      <c r="P924" s="78"/>
      <c r="Q924" s="6" t="str">
        <f t="shared" si="237"/>
        <v>#REF!</v>
      </c>
    </row>
    <row r="925" ht="12.0" customHeight="1">
      <c r="A925" s="22"/>
      <c r="B925" s="27" t="str">
        <f t="shared" si="233"/>
        <v>#REF!</v>
      </c>
      <c r="C925" s="27"/>
      <c r="D925" s="27"/>
      <c r="E925" s="27"/>
      <c r="F925" s="27"/>
      <c r="G925" s="27" t="s">
        <v>3512</v>
      </c>
      <c r="H925" s="27" t="str">
        <f t="shared" si="234"/>
        <v>#REF!</v>
      </c>
      <c r="I925" s="27" t="s">
        <v>3515</v>
      </c>
      <c r="J925" s="27" t="s">
        <v>3516</v>
      </c>
      <c r="K925" s="79" t="str">
        <f t="shared" si="235"/>
        <v>#REF!</v>
      </c>
      <c r="L925" s="27" t="s">
        <v>3515</v>
      </c>
      <c r="M925" s="27" t="str">
        <f t="shared" si="236"/>
        <v>#REF!</v>
      </c>
      <c r="P925" s="78"/>
      <c r="Q925" s="6" t="str">
        <f t="shared" si="237"/>
        <v>#REF!</v>
      </c>
    </row>
    <row r="926" ht="12.0" customHeight="1">
      <c r="A926" s="22"/>
      <c r="B926" s="27" t="str">
        <f t="shared" si="233"/>
        <v>#REF!</v>
      </c>
      <c r="C926" s="27"/>
      <c r="D926" s="27"/>
      <c r="E926" s="27"/>
      <c r="F926" s="27"/>
      <c r="G926" s="27" t="s">
        <v>3512</v>
      </c>
      <c r="H926" s="27" t="str">
        <f t="shared" si="234"/>
        <v>#REF!</v>
      </c>
      <c r="I926" s="27" t="s">
        <v>3515</v>
      </c>
      <c r="J926" s="27" t="s">
        <v>3516</v>
      </c>
      <c r="K926" s="79" t="str">
        <f t="shared" si="235"/>
        <v>#REF!</v>
      </c>
      <c r="L926" s="27" t="s">
        <v>3515</v>
      </c>
      <c r="M926" s="27" t="str">
        <f t="shared" si="236"/>
        <v>#REF!</v>
      </c>
      <c r="P926" s="78"/>
      <c r="Q926" s="6" t="str">
        <f t="shared" si="237"/>
        <v>#REF!</v>
      </c>
    </row>
    <row r="927" ht="12.0" customHeight="1">
      <c r="A927" s="22"/>
      <c r="B927" s="27" t="str">
        <f t="shared" si="233"/>
        <v>#REF!</v>
      </c>
      <c r="C927" s="27"/>
      <c r="D927" s="27"/>
      <c r="E927" s="27"/>
      <c r="F927" s="27"/>
      <c r="G927" s="27" t="s">
        <v>3512</v>
      </c>
      <c r="H927" s="27" t="str">
        <f t="shared" si="234"/>
        <v>#REF!</v>
      </c>
      <c r="I927" s="27" t="s">
        <v>3515</v>
      </c>
      <c r="J927" s="27" t="s">
        <v>3516</v>
      </c>
      <c r="K927" s="79" t="str">
        <f t="shared" si="235"/>
        <v>#REF!</v>
      </c>
      <c r="L927" s="27" t="s">
        <v>3515</v>
      </c>
      <c r="M927" s="27" t="str">
        <f t="shared" si="236"/>
        <v>#REF!</v>
      </c>
      <c r="P927" s="78"/>
      <c r="Q927" s="6" t="str">
        <f t="shared" si="237"/>
        <v>#REF!</v>
      </c>
    </row>
    <row r="928" ht="12.0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P928" s="78"/>
    </row>
    <row r="929" ht="12.0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P929" s="78"/>
    </row>
    <row r="930" ht="12.0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P930" s="78"/>
    </row>
    <row r="931" ht="12.0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P931" s="78"/>
    </row>
    <row r="932" ht="12.0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P932" s="78"/>
    </row>
    <row r="933" ht="12.0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P933" s="78"/>
    </row>
    <row r="934" ht="12.0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P934" s="78"/>
    </row>
    <row r="935" ht="12.0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P935" s="78"/>
    </row>
    <row r="936" ht="12.0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P936" s="78"/>
    </row>
    <row r="937" ht="12.0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P937" s="78"/>
    </row>
    <row r="938" ht="12.0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P938" s="78"/>
    </row>
    <row r="939" ht="12.0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P939" s="78"/>
    </row>
    <row r="940" ht="12.0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P940" s="78"/>
    </row>
    <row r="941" ht="12.0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P941" s="78"/>
    </row>
    <row r="942" ht="12.0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P942" s="78"/>
    </row>
    <row r="943" ht="12.0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P943" s="78"/>
    </row>
    <row r="944" ht="12.0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P944" s="78"/>
    </row>
    <row r="945" ht="12.0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P945" s="78"/>
    </row>
    <row r="946" ht="12.0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P946" s="78"/>
    </row>
    <row r="947" ht="12.0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P947" s="78"/>
    </row>
    <row r="948" ht="12.0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P948" s="78"/>
    </row>
    <row r="949" ht="12.0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P949" s="78"/>
    </row>
    <row r="950" ht="12.0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P950" s="78"/>
    </row>
    <row r="951" ht="12.0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P951" s="78"/>
    </row>
    <row r="952" ht="12.0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P952" s="78"/>
    </row>
    <row r="953" ht="12.0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P953" s="78"/>
    </row>
    <row r="954" ht="12.0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P954" s="78"/>
    </row>
    <row r="955" ht="12.0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P955" s="78"/>
    </row>
    <row r="956" ht="12.0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P956" s="78"/>
    </row>
    <row r="957" ht="12.0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P957" s="78"/>
    </row>
    <row r="958" ht="12.0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P958" s="78"/>
    </row>
    <row r="959" ht="12.0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P959" s="78"/>
    </row>
    <row r="960" ht="12.0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P960" s="78"/>
    </row>
    <row r="961" ht="12.0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P961" s="78"/>
    </row>
    <row r="962" ht="12.0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P962" s="78"/>
    </row>
    <row r="963" ht="12.0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P963" s="78"/>
    </row>
    <row r="964" ht="12.0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P964" s="78"/>
    </row>
    <row r="965" ht="12.0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P965" s="78"/>
    </row>
    <row r="966" ht="12.0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P966" s="78"/>
    </row>
    <row r="967" ht="12.0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P967" s="78"/>
    </row>
    <row r="968" ht="12.0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P968" s="78"/>
    </row>
    <row r="969" ht="12.0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P969" s="78"/>
    </row>
    <row r="970" ht="12.0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P970" s="78"/>
    </row>
    <row r="971" ht="12.0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P971" s="78"/>
    </row>
    <row r="972" ht="12.0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P972" s="78"/>
    </row>
    <row r="973" ht="12.0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P973" s="78"/>
    </row>
    <row r="974" ht="12.0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P974" s="78"/>
    </row>
    <row r="975" ht="12.0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P975" s="78"/>
    </row>
    <row r="976" ht="12.0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P976" s="78"/>
    </row>
    <row r="977" ht="12.0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P977" s="78"/>
    </row>
    <row r="978" ht="12.0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P978" s="78"/>
    </row>
    <row r="979" ht="12.0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P979" s="78"/>
    </row>
    <row r="980" ht="12.0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P980" s="78"/>
    </row>
    <row r="981" ht="12.0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P981" s="78"/>
    </row>
    <row r="982" ht="12.0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P982" s="78"/>
    </row>
    <row r="983" ht="12.0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P983" s="78"/>
    </row>
    <row r="984" ht="12.0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P984" s="78"/>
    </row>
    <row r="985" ht="12.0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P985" s="78"/>
    </row>
    <row r="986" ht="12.0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P986" s="78"/>
    </row>
    <row r="987" ht="12.0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P987" s="78"/>
    </row>
    <row r="988" ht="12.0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P988" s="78"/>
    </row>
    <row r="989" ht="12.0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P989" s="78"/>
    </row>
    <row r="990" ht="12.0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P990" s="78"/>
    </row>
    <row r="991" ht="12.0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P991" s="78"/>
    </row>
    <row r="992" ht="12.0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P992" s="78"/>
    </row>
    <row r="993" ht="12.0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P993" s="78"/>
    </row>
    <row r="994" ht="12.0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P994" s="78"/>
    </row>
    <row r="995" ht="12.0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P995" s="78"/>
    </row>
    <row r="996" ht="12.0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P996" s="78"/>
    </row>
    <row r="997" ht="12.0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P997" s="78"/>
    </row>
    <row r="998" ht="12.0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P998" s="78"/>
    </row>
    <row r="999" ht="12.0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P999" s="78"/>
    </row>
    <row r="1000" ht="12.0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P1000" s="78"/>
    </row>
    <row r="1001" ht="12.0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P1001" s="78"/>
    </row>
    <row r="1002" ht="12.0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P1002" s="78"/>
    </row>
    <row r="1003" ht="12.0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P1003" s="78"/>
    </row>
    <row r="1004" ht="12.0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P1004" s="78"/>
    </row>
    <row r="1005" ht="12.0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P1005" s="78"/>
    </row>
    <row r="1006" ht="12.0" customHeight="1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P1006" s="78"/>
    </row>
    <row r="1007" ht="12.0" customHeight="1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P1007" s="78"/>
    </row>
    <row r="1008" ht="12.0" customHeight="1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P1008" s="78"/>
    </row>
    <row r="1009" ht="12.0" customHeight="1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P1009" s="78"/>
    </row>
    <row r="1010" ht="12.0" customHeight="1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P1010" s="78"/>
    </row>
    <row r="1011" ht="12.0" customHeight="1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P1011" s="78"/>
    </row>
    <row r="1012" ht="12.0" customHeight="1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P1012" s="78"/>
    </row>
    <row r="1013" ht="12.0" customHeight="1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P1013" s="78"/>
    </row>
    <row r="1014" ht="12.0" customHeight="1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P1014" s="78"/>
    </row>
    <row r="1015" ht="12.0" customHeight="1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P1015" s="78"/>
    </row>
    <row r="1016" ht="12.0" customHeight="1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P1016" s="78"/>
    </row>
  </sheetData>
  <mergeCells count="2">
    <mergeCell ref="A1:O1"/>
    <mergeCell ref="S6:Y9"/>
  </mergeCells>
  <conditionalFormatting sqref="P6:Q39 Q44:Q85 Q90:Q151 Q156:Q195 Q200:Q216 Q221:Q239 Q244:Q258 Q263:Q274 Q279:Q282 Q287:Q291 Q296:Q302 Q306:Q308 Q313:Q321 Q326:Q344 Q349:Q371 Q376:Q414 Q419:Q443 Q448:Q449 Q454:Q461 Q466:Q477 Q482:Q483 Q488:Q490 Q495:Q505 Q510:Q516 Q521:Q536 Q541:Q547 Q552:Q555 Q560:Q570 Q575:Q577 Q582:Q596 Q601:Q621 Q626:Q643 Q648:Q649 Q654:Q662 Q667:Q675 Q680:Q684 Q689:Q691 Q696:Q707 Q712:Q717 Q722:Q725 Q730 Q735:Q755 Q760:Q778 Q783:Q793 Q798:Q808 Q813:Q818 Q823:Q825 Q830:Q832 Q837:Q839 Q844:Q855 Q860:Q864 Q869:Q871 Q876:Q893 Q898:Q912 Q917:Q927">
    <cfRule type="notContainsBlanks" dxfId="6" priority="1">
      <formula>LEN(TRIM(P6))&gt;0</formula>
    </cfRule>
  </conditionalFormatting>
  <drawing r:id="rId1"/>
</worksheet>
</file>